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3Розділ\Збірник 2015  без вычислений\Збірник 2015  без вычислений\2Розділ\"/>
    </mc:Choice>
  </mc:AlternateContent>
  <bookViews>
    <workbookView xWindow="0" yWindow="0" windowWidth="24000" windowHeight="9450"/>
  </bookViews>
  <sheets>
    <sheet name="Україна 2.1" sheetId="1" r:id="rId1"/>
  </sheets>
  <definedNames>
    <definedName name="_xlnm.Print_Area" localSheetId="0">'Україна 2.1'!$A$1:$G$81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C7" i="1"/>
  <c r="D7" i="1"/>
  <c r="E7" i="1"/>
  <c r="F7" i="1"/>
  <c r="G7" i="1"/>
  <c r="C10" i="1"/>
  <c r="D10" i="1"/>
  <c r="E10" i="1"/>
  <c r="F10" i="1"/>
  <c r="F12" i="1"/>
  <c r="F13" i="1" s="1"/>
  <c r="C13" i="1"/>
  <c r="D13" i="1"/>
  <c r="E13" i="1"/>
  <c r="G13" i="1"/>
  <c r="F15" i="1"/>
  <c r="F16" i="1" s="1"/>
  <c r="C16" i="1"/>
  <c r="D16" i="1"/>
  <c r="E16" i="1"/>
  <c r="F18" i="1"/>
  <c r="C19" i="1"/>
  <c r="D19" i="1"/>
  <c r="E19" i="1"/>
  <c r="G19" i="1"/>
  <c r="F21" i="1"/>
  <c r="F22" i="1" s="1"/>
  <c r="C22" i="1"/>
  <c r="D22" i="1"/>
  <c r="E22" i="1"/>
  <c r="G22" i="1"/>
  <c r="F24" i="1"/>
  <c r="C25" i="1"/>
  <c r="D25" i="1"/>
  <c r="E25" i="1"/>
  <c r="F25" i="1"/>
  <c r="F27" i="1"/>
  <c r="C28" i="1"/>
  <c r="D28" i="1"/>
  <c r="E28" i="1"/>
  <c r="C30" i="1"/>
  <c r="C31" i="1" s="1"/>
  <c r="F30" i="1"/>
  <c r="D31" i="1"/>
  <c r="E31" i="1"/>
  <c r="G31" i="1"/>
  <c r="C33" i="1"/>
  <c r="D33" i="1"/>
  <c r="D34" i="1" s="1"/>
  <c r="F33" i="1"/>
  <c r="F34" i="1" s="1"/>
  <c r="C34" i="1"/>
  <c r="E34" i="1"/>
  <c r="G34" i="1"/>
  <c r="C36" i="1"/>
  <c r="C37" i="1" s="1"/>
  <c r="E36" i="1"/>
  <c r="F36" i="1"/>
  <c r="E37" i="1"/>
  <c r="F37" i="1"/>
  <c r="G37" i="1"/>
  <c r="F39" i="1"/>
  <c r="C40" i="1"/>
  <c r="D40" i="1"/>
  <c r="E40" i="1"/>
  <c r="G40" i="1"/>
  <c r="F42" i="1"/>
  <c r="F43" i="1" s="1"/>
  <c r="C43" i="1"/>
  <c r="D43" i="1"/>
  <c r="E43" i="1"/>
  <c r="G43" i="1"/>
  <c r="F45" i="1"/>
  <c r="C46" i="1"/>
  <c r="D46" i="1"/>
  <c r="E46" i="1"/>
  <c r="F46" i="1"/>
  <c r="G46" i="1"/>
  <c r="C53" i="1"/>
  <c r="E53" i="1"/>
  <c r="F53" i="1"/>
  <c r="C56" i="1"/>
  <c r="D56" i="1"/>
  <c r="E56" i="1"/>
  <c r="F56" i="1"/>
  <c r="C59" i="1"/>
  <c r="D59" i="1"/>
  <c r="F59" i="1"/>
  <c r="F61" i="1"/>
  <c r="C62" i="1"/>
  <c r="D62" i="1"/>
  <c r="F62" i="1"/>
  <c r="G62" i="1"/>
  <c r="C65" i="1"/>
  <c r="E65" i="1"/>
  <c r="F65" i="1"/>
  <c r="C68" i="1"/>
  <c r="E68" i="1"/>
  <c r="F68" i="1"/>
  <c r="C71" i="1"/>
  <c r="E71" i="1"/>
  <c r="F71" i="1"/>
  <c r="F73" i="1"/>
  <c r="C74" i="1"/>
  <c r="D74" i="1"/>
  <c r="E74" i="1"/>
  <c r="F74" i="1"/>
  <c r="F76" i="1"/>
  <c r="F77" i="1" s="1"/>
  <c r="C77" i="1"/>
  <c r="D77" i="1"/>
  <c r="C80" i="1"/>
  <c r="D80" i="1"/>
  <c r="E80" i="1"/>
  <c r="F80" i="1"/>
  <c r="F31" i="1" l="1"/>
  <c r="F40" i="1"/>
  <c r="F28" i="1"/>
  <c r="F19" i="1"/>
</calcChain>
</file>

<file path=xl/sharedStrings.xml><?xml version="1.0" encoding="utf-8"?>
<sst xmlns="http://schemas.openxmlformats.org/spreadsheetml/2006/main" count="155" uniqueCount="68">
  <si>
    <t>-</t>
  </si>
  <si>
    <r>
      <t>т у.п. /</t>
    </r>
    <r>
      <rPr>
        <i/>
        <sz val="11"/>
        <rFont val="Arial"/>
        <family val="2"/>
        <charset val="204"/>
      </rPr>
      <t xml:space="preserve"> tsc</t>
    </r>
  </si>
  <si>
    <t>Blast furnace gas</t>
  </si>
  <si>
    <r>
      <t xml:space="preserve">тис.куб.м / </t>
    </r>
    <r>
      <rPr>
        <i/>
        <sz val="11"/>
        <rFont val="Arial"/>
        <family val="2"/>
        <charset val="204"/>
      </rPr>
      <t>thsd. m³</t>
    </r>
  </si>
  <si>
    <t>Доменний газ /</t>
  </si>
  <si>
    <t>Coke oven gas</t>
  </si>
  <si>
    <t>Коксовий газ /</t>
  </si>
  <si>
    <t>Fuel briquettes and pellets made of wood and other natural materials</t>
  </si>
  <si>
    <r>
      <t xml:space="preserve">тонн / </t>
    </r>
    <r>
      <rPr>
        <i/>
        <sz val="11"/>
        <rFont val="Arial"/>
        <family val="2"/>
        <charset val="204"/>
      </rPr>
      <t>t</t>
    </r>
  </si>
  <si>
    <t>Паливні брикети та гранули з деревини та іншої природної сировини /</t>
  </si>
  <si>
    <t>Lubricants and heavy oil distillates</t>
  </si>
  <si>
    <t>Оливи та мастила нафтові; дистиляти нафтові важкі /</t>
  </si>
  <si>
    <t>Petroleum coke (including shale)</t>
  </si>
  <si>
    <t>Кокс нафтовий (включаючи сланцевий) /</t>
  </si>
  <si>
    <t>Oil bitumen (including shale)</t>
  </si>
  <si>
    <t>Бітум нафтовий (включаючи сланцевий) /</t>
  </si>
  <si>
    <r>
      <t xml:space="preserve"> </t>
    </r>
    <r>
      <rPr>
        <i/>
        <sz val="11"/>
        <rFont val="Arial"/>
        <family val="2"/>
        <charset val="204"/>
      </rPr>
      <t>Peat briquettes</t>
    </r>
  </si>
  <si>
    <t>Брикети, котуни та подібні види твердого палива з торфу /</t>
  </si>
  <si>
    <t>Brown coal briquettes (BKB)</t>
  </si>
  <si>
    <t xml:space="preserve">Брикети, котуни та подібні види твердого палива з вугілля бурого / </t>
  </si>
  <si>
    <r>
      <t xml:space="preserve">т у.п. / </t>
    </r>
    <r>
      <rPr>
        <i/>
        <sz val="11"/>
        <rFont val="Arial"/>
        <family val="2"/>
        <charset val="204"/>
      </rPr>
      <t>tsc</t>
    </r>
  </si>
  <si>
    <t xml:space="preserve"> Hard coal briquettes</t>
  </si>
  <si>
    <t>Брикети, котуни та подібні види твердого палива з вугілля    кам’яного /</t>
  </si>
  <si>
    <t>Oil vaseline, paraffin, oil waxes etc</t>
  </si>
  <si>
    <t>Вазелін нафтовий, парафін, воски нафтові та інші /</t>
  </si>
  <si>
    <r>
      <t xml:space="preserve">втрати при транспор-туванні, розподілі та зберіганні / </t>
    </r>
    <r>
      <rPr>
        <i/>
        <sz val="11"/>
        <rFont val="Arial"/>
        <family val="2"/>
        <charset val="204"/>
      </rPr>
      <t xml:space="preserve">transportation, distribution and storage losses </t>
    </r>
  </si>
  <si>
    <r>
      <t>кінцеве спожи-  вання /</t>
    </r>
    <r>
      <rPr>
        <i/>
        <sz val="11"/>
        <rFont val="Arial"/>
        <family val="2"/>
        <charset val="204"/>
      </rPr>
      <t xml:space="preserve"> final consump-tion</t>
    </r>
  </si>
  <si>
    <r>
      <t xml:space="preserve">на неенер-  гетичні    цілі (як сировина, матеріал) / </t>
    </r>
    <r>
      <rPr>
        <i/>
        <sz val="11"/>
        <rFont val="Arial"/>
        <family val="2"/>
        <charset val="204"/>
      </rPr>
      <t>non-energy use (raw matherial)</t>
    </r>
  </si>
  <si>
    <r>
      <t xml:space="preserve">на пере-творення в інші види палива та енергію / </t>
    </r>
    <r>
      <rPr>
        <i/>
        <sz val="11"/>
        <rFont val="Arial"/>
        <family val="2"/>
        <charset val="204"/>
      </rPr>
      <t>transfor-mation into other types of fuel and energy</t>
    </r>
  </si>
  <si>
    <r>
      <t xml:space="preserve">у тому числі / </t>
    </r>
    <r>
      <rPr>
        <i/>
        <sz val="11"/>
        <rFont val="Arial"/>
        <family val="2"/>
        <charset val="204"/>
      </rPr>
      <t>including</t>
    </r>
  </si>
  <si>
    <r>
      <t>Усього /</t>
    </r>
    <r>
      <rPr>
        <i/>
        <sz val="11"/>
        <rFont val="Arial"/>
        <family val="2"/>
        <charset val="204"/>
      </rPr>
      <t xml:space="preserve"> Total</t>
    </r>
  </si>
  <si>
    <r>
      <t xml:space="preserve">Одиниці виміру / </t>
    </r>
    <r>
      <rPr>
        <i/>
        <sz val="11"/>
        <rFont val="Arial"/>
        <family val="2"/>
        <charset val="204"/>
      </rPr>
      <t>Unit</t>
    </r>
  </si>
  <si>
    <t xml:space="preserve">               Продовження таблиці 2.1 /  Continuation of the table 2.1</t>
  </si>
  <si>
    <t>Ethylene, propylene, butylene, butadiene other refinery gas and other hydrocarbons, excluding natural gas</t>
  </si>
  <si>
    <t>Етилен, пропілен, бутилен, бутадієн і гази нафтові інші та вуглеводні газоподібні, крім газу природного /</t>
  </si>
  <si>
    <t>Liquefied petroleum gases (LPG)</t>
  </si>
  <si>
    <t>Пропан і бутан скраплені /</t>
  </si>
  <si>
    <t xml:space="preserve"> </t>
  </si>
  <si>
    <t>Heavy fuel oil</t>
  </si>
  <si>
    <t>Мазути паливні важкі /</t>
  </si>
  <si>
    <t>Kerosene</t>
  </si>
  <si>
    <t>Гас /</t>
  </si>
  <si>
    <t xml:space="preserve">Road diesel </t>
  </si>
  <si>
    <t>Газойлі (паливо дизельне) /</t>
  </si>
  <si>
    <t>Motor gasoline</t>
  </si>
  <si>
    <t>Бензин моторний /</t>
  </si>
  <si>
    <t xml:space="preserve">Coal coke and coke breeze;                   gas coke </t>
  </si>
  <si>
    <t xml:space="preserve">Кокс та напівкокс з вугілля кам'яного; кокс газовий /   </t>
  </si>
  <si>
    <t>Fuelwood</t>
  </si>
  <si>
    <r>
      <t>щільн.куб.м /</t>
    </r>
    <r>
      <rPr>
        <i/>
        <sz val="11"/>
        <rFont val="Arial"/>
        <family val="2"/>
        <charset val="204"/>
      </rPr>
      <t>density, m³</t>
    </r>
  </si>
  <si>
    <t>Дрова для опалення /</t>
  </si>
  <si>
    <t>Peat</t>
  </si>
  <si>
    <t xml:space="preserve">Торф неагломерований паливний / </t>
  </si>
  <si>
    <t>Natural gas</t>
  </si>
  <si>
    <r>
      <t>тис.куб.м / thsd.</t>
    </r>
    <r>
      <rPr>
        <i/>
        <sz val="11"/>
        <rFont val="Arial"/>
        <family val="2"/>
        <charset val="204"/>
      </rPr>
      <t xml:space="preserve"> m³</t>
    </r>
  </si>
  <si>
    <t>Природний газ /</t>
  </si>
  <si>
    <t>Natural gas liquids (NGL)</t>
  </si>
  <si>
    <t>Газовий конденсат /</t>
  </si>
  <si>
    <t>Conventional crude oil</t>
  </si>
  <si>
    <t>Нафта сира /</t>
  </si>
  <si>
    <t>Brown coal</t>
  </si>
  <si>
    <t>Вугілля буре /</t>
  </si>
  <si>
    <t>Hard coal</t>
  </si>
  <si>
    <t>Вугілля кам’яне /</t>
  </si>
  <si>
    <r>
      <t xml:space="preserve">кінцеве спожи-  вання / </t>
    </r>
    <r>
      <rPr>
        <i/>
        <sz val="11"/>
        <rFont val="Arial"/>
        <family val="2"/>
        <charset val="204"/>
      </rPr>
      <t>final consump-tion</t>
    </r>
  </si>
  <si>
    <t>2.1. Використання палива в Україні за 2014 рік / Ukraine: 2014</t>
  </si>
  <si>
    <r>
      <t>Усього /</t>
    </r>
    <r>
      <rPr>
        <i/>
        <sz val="11"/>
        <rFont val="Arial"/>
        <family val="2"/>
        <charset val="204"/>
      </rPr>
      <t xml:space="preserve">                            Total</t>
    </r>
  </si>
  <si>
    <r>
      <t xml:space="preserve">Одиниці  виміру /  </t>
    </r>
    <r>
      <rPr>
        <i/>
        <sz val="11"/>
        <rFont val="Arial"/>
        <family val="2"/>
        <charset val="204"/>
      </rPr>
      <t>Unit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</si>
</sst>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1"/>
      <name val="Arial"/>
      <family val="2"/>
      <charset val="204"/>
    </font>
    <font>
      <sz val="11"/>
      <color theme="0" tint="-4.9989318521683403E-2"/>
      <name val="Arial"/>
      <family val="2"/>
      <charset val="204"/>
    </font>
    <font>
      <i/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 applyFill="1"/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1" fontId="1" fillId="0" borderId="0" xfId="0" applyNumberFormat="1" applyFont="1"/>
    <xf numFmtId="1" fontId="1" fillId="0" borderId="0" xfId="0" applyNumberFormat="1" applyFont="1" applyAlignment="1">
      <alignment wrapText="1"/>
    </xf>
    <xf numFmtId="0" fontId="1" fillId="0" borderId="0" xfId="0" applyFont="1" applyFill="1"/>
    <xf numFmtId="1" fontId="1" fillId="2" borderId="0" xfId="0" applyNumberFormat="1" applyFont="1" applyFill="1" applyAlignment="1">
      <alignment horizontal="right"/>
    </xf>
    <xf numFmtId="1" fontId="1" fillId="2" borderId="0" xfId="0" applyNumberFormat="1" applyFont="1" applyFill="1"/>
    <xf numFmtId="1" fontId="2" fillId="0" borderId="0" xfId="0" applyNumberFormat="1" applyFont="1" applyFill="1"/>
    <xf numFmtId="1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1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1" fillId="0" borderId="0" xfId="0" applyFont="1" applyAlignment="1"/>
    <xf numFmtId="1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right" wrapText="1"/>
    </xf>
    <xf numFmtId="1" fontId="1" fillId="0" borderId="0" xfId="0" applyNumberFormat="1" applyFont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1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wrapText="1"/>
    </xf>
    <xf numFmtId="1" fontId="4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Continuous" vertical="center" wrapText="1"/>
    </xf>
    <xf numFmtId="0" fontId="1" fillId="0" borderId="0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0" xfId="0" applyFont="1" applyFill="1" applyBorder="1" applyAlignment="1">
      <alignment horizontal="left" wrapText="1"/>
    </xf>
    <xf numFmtId="1" fontId="4" fillId="0" borderId="0" xfId="0" applyNumberFormat="1" applyFont="1" applyBorder="1" applyAlignment="1">
      <alignment horizontal="right"/>
    </xf>
    <xf numFmtId="0" fontId="1" fillId="0" borderId="0" xfId="0" applyFont="1" applyAlignment="1">
      <alignment vertical="center" wrapText="1"/>
    </xf>
    <xf numFmtId="1" fontId="4" fillId="0" borderId="0" xfId="0" applyNumberFormat="1" applyFont="1" applyBorder="1" applyAlignment="1">
      <alignment horizontal="right" vertical="center" wrapText="1"/>
    </xf>
    <xf numFmtId="1" fontId="4" fillId="0" borderId="10" xfId="0" applyNumberFormat="1" applyFont="1" applyBorder="1"/>
    <xf numFmtId="1" fontId="4" fillId="0" borderId="10" xfId="0" applyNumberFormat="1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1" fontId="4" fillId="0" borderId="0" xfId="0" applyNumberFormat="1" applyFont="1"/>
    <xf numFmtId="1" fontId="4" fillId="0" borderId="0" xfId="0" applyNumberFormat="1" applyFont="1" applyAlignment="1">
      <alignment wrapText="1"/>
    </xf>
    <xf numFmtId="0" fontId="7" fillId="0" borderId="0" xfId="0" applyFont="1" applyFill="1" applyAlignment="1">
      <alignment horizontal="left"/>
    </xf>
    <xf numFmtId="164" fontId="1" fillId="0" borderId="0" xfId="0" applyNumberFormat="1" applyFont="1" applyAlignment="1">
      <alignment horizontal="right"/>
    </xf>
    <xf numFmtId="164" fontId="1" fillId="2" borderId="0" xfId="0" applyNumberFormat="1" applyFont="1" applyFill="1" applyAlignment="1">
      <alignment horizontal="right"/>
    </xf>
    <xf numFmtId="0" fontId="1" fillId="0" borderId="9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1" fontId="5" fillId="0" borderId="10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abSelected="1" view="pageBreakPreview" topLeftCell="A61" zoomScale="70" zoomScaleNormal="100" zoomScaleSheetLayoutView="70" workbookViewId="0">
      <selection activeCell="H1" sqref="H1:H1048576"/>
    </sheetView>
  </sheetViews>
  <sheetFormatPr defaultRowHeight="14.25" x14ac:dyDescent="0.2"/>
  <cols>
    <col min="1" max="1" width="36" style="7" customWidth="1"/>
    <col min="2" max="2" width="12.5703125" style="1" customWidth="1"/>
    <col min="3" max="5" width="12.5703125" style="5" customWidth="1"/>
    <col min="6" max="6" width="12.7109375" style="6" customWidth="1"/>
    <col min="7" max="7" width="14.5703125" style="5" customWidth="1"/>
    <col min="8" max="8" width="12.7109375" style="8" customWidth="1"/>
    <col min="9" max="9" width="11.28515625" style="48" customWidth="1"/>
    <col min="10" max="10" width="13.28515625" style="4" customWidth="1"/>
    <col min="11" max="11" width="13.140625" style="4" customWidth="1"/>
    <col min="12" max="12" width="16.7109375" style="4" customWidth="1"/>
    <col min="13" max="13" width="14.42578125" style="3" customWidth="1"/>
    <col min="14" max="14" width="15.140625" style="3" customWidth="1"/>
    <col min="15" max="15" width="9.140625" style="2"/>
    <col min="16" max="16384" width="9.140625" style="1"/>
  </cols>
  <sheetData>
    <row r="1" spans="1:19" ht="16.5" customHeight="1" x14ac:dyDescent="0.25">
      <c r="A1" s="46" t="s">
        <v>65</v>
      </c>
      <c r="B1" s="15"/>
      <c r="C1" s="44"/>
      <c r="D1" s="44"/>
      <c r="E1" s="44"/>
      <c r="F1" s="45"/>
      <c r="G1" s="44"/>
      <c r="H1" s="18"/>
      <c r="I1" s="47"/>
      <c r="J1" s="8"/>
      <c r="K1" s="8"/>
      <c r="L1" s="8"/>
      <c r="M1" s="8"/>
      <c r="N1" s="8"/>
      <c r="O1" s="10"/>
      <c r="P1" s="9"/>
      <c r="Q1" s="9"/>
      <c r="R1" s="9"/>
      <c r="S1" s="5"/>
    </row>
    <row r="2" spans="1:19" ht="9" customHeight="1" x14ac:dyDescent="0.25">
      <c r="A2" s="43"/>
      <c r="B2" s="36"/>
      <c r="C2" s="41"/>
      <c r="D2" s="41"/>
      <c r="E2" s="41"/>
      <c r="F2" s="42"/>
      <c r="G2" s="41"/>
      <c r="H2" s="18"/>
      <c r="I2" s="47"/>
      <c r="J2" s="8"/>
      <c r="K2" s="8"/>
      <c r="L2" s="8"/>
      <c r="M2" s="8"/>
      <c r="N2" s="8"/>
      <c r="O2" s="10"/>
      <c r="P2" s="9"/>
      <c r="Q2" s="9"/>
      <c r="R2" s="9"/>
      <c r="S2" s="5"/>
    </row>
    <row r="3" spans="1:19" ht="14.25" customHeight="1" x14ac:dyDescent="0.2">
      <c r="A3" s="49"/>
      <c r="B3" s="52" t="s">
        <v>31</v>
      </c>
      <c r="C3" s="54" t="s">
        <v>30</v>
      </c>
      <c r="D3" s="56" t="s">
        <v>29</v>
      </c>
      <c r="E3" s="56"/>
      <c r="F3" s="56"/>
      <c r="G3" s="56"/>
      <c r="H3" s="18"/>
      <c r="I3" s="47"/>
      <c r="J3" s="8"/>
      <c r="K3" s="8"/>
      <c r="L3" s="8"/>
      <c r="M3" s="8"/>
      <c r="N3" s="8"/>
      <c r="O3" s="10"/>
      <c r="P3" s="9"/>
      <c r="Q3" s="9"/>
      <c r="R3" s="9"/>
      <c r="S3" s="5"/>
    </row>
    <row r="4" spans="1:19" ht="171" customHeight="1" x14ac:dyDescent="0.2">
      <c r="A4" s="50"/>
      <c r="B4" s="53"/>
      <c r="C4" s="55"/>
      <c r="D4" s="35" t="s">
        <v>28</v>
      </c>
      <c r="E4" s="34" t="s">
        <v>27</v>
      </c>
      <c r="F4" s="34" t="s">
        <v>64</v>
      </c>
      <c r="G4" s="33" t="s">
        <v>25</v>
      </c>
      <c r="H4" s="18"/>
      <c r="I4" s="47"/>
      <c r="J4" s="8"/>
      <c r="K4" s="8"/>
      <c r="L4" s="8"/>
      <c r="M4" s="8"/>
      <c r="N4" s="8"/>
      <c r="O4" s="10"/>
      <c r="P4" s="9"/>
      <c r="Q4" s="9"/>
      <c r="R4" s="9"/>
      <c r="S4" s="5"/>
    </row>
    <row r="5" spans="1:19" ht="9" customHeight="1" x14ac:dyDescent="0.2">
      <c r="A5" s="25"/>
      <c r="B5" s="32"/>
      <c r="C5" s="31"/>
      <c r="D5" s="40"/>
      <c r="E5" s="30"/>
      <c r="F5" s="30"/>
      <c r="G5" s="30"/>
      <c r="H5" s="18"/>
      <c r="I5" s="47"/>
      <c r="J5" s="8"/>
      <c r="K5" s="8"/>
      <c r="L5" s="8"/>
      <c r="M5" s="8"/>
      <c r="N5" s="8"/>
      <c r="O5" s="10"/>
      <c r="P5" s="9"/>
      <c r="Q5" s="9"/>
      <c r="R5" s="9"/>
      <c r="S5" s="5"/>
    </row>
    <row r="6" spans="1:19" ht="14.25" customHeight="1" x14ac:dyDescent="0.2">
      <c r="A6" s="25" t="s">
        <v>63</v>
      </c>
      <c r="B6" s="15" t="s">
        <v>8</v>
      </c>
      <c r="C6" s="20">
        <v>53878944.899999999</v>
      </c>
      <c r="D6" s="18">
        <v>45721779.899999999</v>
      </c>
      <c r="E6" s="18">
        <v>185654.6</v>
      </c>
      <c r="F6" s="19">
        <f>339864.2+7608097.3</f>
        <v>7947961.5</v>
      </c>
      <c r="G6" s="18">
        <v>23548.9</v>
      </c>
      <c r="H6" s="18"/>
      <c r="I6" s="47"/>
      <c r="J6" s="8"/>
      <c r="K6" s="8"/>
      <c r="L6" s="8"/>
      <c r="M6" s="8"/>
      <c r="N6" s="8"/>
      <c r="O6" s="10"/>
      <c r="P6" s="9"/>
      <c r="Q6" s="9"/>
      <c r="R6" s="9"/>
      <c r="S6" s="5"/>
    </row>
    <row r="7" spans="1:19" ht="14.25" customHeight="1" x14ac:dyDescent="0.2">
      <c r="A7" s="23" t="s">
        <v>62</v>
      </c>
      <c r="B7" s="15" t="s">
        <v>1</v>
      </c>
      <c r="C7" s="18">
        <f t="shared" ref="C7:G7" si="0">C6*0.766</f>
        <v>41271271.793399997</v>
      </c>
      <c r="D7" s="18">
        <f t="shared" si="0"/>
        <v>35022883.403399996</v>
      </c>
      <c r="E7" s="18">
        <f t="shared" si="0"/>
        <v>142211.42360000001</v>
      </c>
      <c r="F7" s="18">
        <f t="shared" si="0"/>
        <v>6088138.5090000005</v>
      </c>
      <c r="G7" s="18">
        <f t="shared" si="0"/>
        <v>18038.457400000003</v>
      </c>
      <c r="H7" s="18"/>
      <c r="I7" s="47"/>
      <c r="J7" s="8"/>
      <c r="K7" s="8"/>
      <c r="L7" s="8"/>
      <c r="M7" s="8"/>
      <c r="N7" s="8"/>
      <c r="O7" s="10"/>
      <c r="P7" s="9"/>
      <c r="Q7" s="9"/>
      <c r="R7" s="9"/>
      <c r="S7" s="5"/>
    </row>
    <row r="8" spans="1:19" ht="9" customHeight="1" x14ac:dyDescent="0.2">
      <c r="A8" s="25"/>
      <c r="B8" s="15"/>
      <c r="C8" s="28"/>
      <c r="D8" s="28"/>
      <c r="E8" s="28"/>
      <c r="F8" s="29"/>
      <c r="G8" s="28"/>
      <c r="H8" s="18"/>
      <c r="I8" s="47"/>
      <c r="J8" s="8"/>
      <c r="K8" s="8"/>
      <c r="L8" s="8"/>
      <c r="M8" s="8"/>
      <c r="N8" s="8"/>
      <c r="O8" s="10"/>
      <c r="P8" s="9"/>
      <c r="Q8" s="9"/>
      <c r="R8" s="9"/>
      <c r="S8" s="5"/>
    </row>
    <row r="9" spans="1:19" ht="14.25" customHeight="1" x14ac:dyDescent="0.2">
      <c r="A9" s="25" t="s">
        <v>61</v>
      </c>
      <c r="B9" s="15" t="s">
        <v>8</v>
      </c>
      <c r="C9" s="18">
        <v>9997.5</v>
      </c>
      <c r="D9" s="18">
        <v>2987.9</v>
      </c>
      <c r="E9" s="18">
        <v>1742.3</v>
      </c>
      <c r="F9" s="19">
        <v>5267.3</v>
      </c>
      <c r="G9" s="18" t="s">
        <v>0</v>
      </c>
      <c r="H9" s="18"/>
      <c r="I9" s="47"/>
      <c r="J9" s="8"/>
      <c r="K9" s="8"/>
      <c r="L9" s="8"/>
      <c r="M9" s="8"/>
      <c r="N9" s="8"/>
      <c r="O9" s="10"/>
      <c r="P9" s="9"/>
      <c r="Q9" s="9"/>
      <c r="R9" s="9"/>
      <c r="S9" s="5"/>
    </row>
    <row r="10" spans="1:19" ht="14.25" customHeight="1" x14ac:dyDescent="0.2">
      <c r="A10" s="23" t="s">
        <v>60</v>
      </c>
      <c r="B10" s="15" t="s">
        <v>1</v>
      </c>
      <c r="C10" s="18">
        <f>C9*0.343</f>
        <v>3429.1425000000004</v>
      </c>
      <c r="D10" s="18">
        <f>D9*0.343</f>
        <v>1024.8497000000002</v>
      </c>
      <c r="E10" s="18">
        <f>E9*0.343</f>
        <v>597.60890000000006</v>
      </c>
      <c r="F10" s="18">
        <f>F9*0.343</f>
        <v>1806.6839000000002</v>
      </c>
      <c r="G10" s="18" t="s">
        <v>0</v>
      </c>
      <c r="H10" s="18"/>
      <c r="I10" s="47"/>
      <c r="J10" s="8"/>
      <c r="K10" s="8"/>
      <c r="L10" s="8"/>
      <c r="M10" s="8"/>
      <c r="N10" s="8"/>
      <c r="O10" s="10"/>
      <c r="P10" s="9"/>
      <c r="Q10" s="9"/>
      <c r="R10" s="9"/>
      <c r="S10" s="5"/>
    </row>
    <row r="11" spans="1:19" ht="9" customHeight="1" x14ac:dyDescent="0.2">
      <c r="A11" s="25"/>
      <c r="B11" s="15"/>
      <c r="C11" s="18"/>
      <c r="D11" s="18"/>
      <c r="E11" s="18"/>
      <c r="F11" s="19"/>
      <c r="G11" s="18"/>
      <c r="H11" s="18"/>
      <c r="I11" s="47"/>
      <c r="J11" s="8"/>
      <c r="K11" s="8"/>
      <c r="L11" s="8"/>
      <c r="M11" s="8"/>
      <c r="N11" s="8"/>
      <c r="O11" s="10"/>
      <c r="P11" s="9"/>
      <c r="Q11" s="9"/>
      <c r="R11" s="9"/>
      <c r="S11" s="5"/>
    </row>
    <row r="12" spans="1:19" ht="14.25" customHeight="1" x14ac:dyDescent="0.2">
      <c r="A12" s="25" t="s">
        <v>59</v>
      </c>
      <c r="B12" s="15" t="s">
        <v>8</v>
      </c>
      <c r="C12" s="18">
        <v>2254016</v>
      </c>
      <c r="D12" s="18">
        <v>2230744.5</v>
      </c>
      <c r="E12" s="18">
        <v>6122.6</v>
      </c>
      <c r="F12" s="18">
        <f>2629.7+243.6</f>
        <v>2873.2999999999997</v>
      </c>
      <c r="G12" s="18">
        <v>14275.6</v>
      </c>
      <c r="H12" s="18"/>
      <c r="I12" s="47"/>
      <c r="J12" s="8"/>
      <c r="K12" s="8"/>
      <c r="L12" s="8"/>
      <c r="M12" s="8"/>
      <c r="N12" s="8"/>
      <c r="O12" s="10"/>
      <c r="P12" s="9"/>
      <c r="Q12" s="9"/>
      <c r="R12" s="9"/>
      <c r="S12" s="5"/>
    </row>
    <row r="13" spans="1:19" ht="14.25" customHeight="1" x14ac:dyDescent="0.2">
      <c r="A13" s="23" t="s">
        <v>58</v>
      </c>
      <c r="B13" s="15" t="s">
        <v>1</v>
      </c>
      <c r="C13" s="18">
        <f t="shared" ref="C13:G13" si="1">C12*1.43</f>
        <v>3223242.88</v>
      </c>
      <c r="D13" s="18">
        <f t="shared" si="1"/>
        <v>3189964.6349999998</v>
      </c>
      <c r="E13" s="18">
        <f t="shared" si="1"/>
        <v>8755.3179999999993</v>
      </c>
      <c r="F13" s="18">
        <f t="shared" si="1"/>
        <v>4108.8189999999995</v>
      </c>
      <c r="G13" s="18">
        <f t="shared" si="1"/>
        <v>20414.108</v>
      </c>
      <c r="H13" s="18"/>
      <c r="I13" s="47"/>
      <c r="J13" s="8"/>
      <c r="K13" s="8"/>
      <c r="L13" s="8"/>
      <c r="M13" s="8"/>
      <c r="N13" s="8"/>
      <c r="O13" s="10"/>
      <c r="P13" s="9"/>
      <c r="Q13" s="9"/>
      <c r="R13" s="9"/>
      <c r="S13" s="5"/>
    </row>
    <row r="14" spans="1:19" ht="9" customHeight="1" x14ac:dyDescent="0.2">
      <c r="A14" s="25"/>
      <c r="B14" s="15"/>
      <c r="C14" s="28"/>
      <c r="D14" s="28"/>
      <c r="E14" s="28"/>
      <c r="F14" s="29"/>
      <c r="G14" s="28"/>
      <c r="H14" s="18"/>
      <c r="I14" s="47"/>
      <c r="J14" s="8"/>
      <c r="K14" s="8"/>
      <c r="L14" s="8"/>
      <c r="M14" s="8"/>
      <c r="N14" s="8"/>
      <c r="O14" s="10"/>
      <c r="P14" s="9"/>
      <c r="Q14" s="9"/>
      <c r="R14" s="9"/>
      <c r="S14" s="5"/>
    </row>
    <row r="15" spans="1:19" ht="14.25" customHeight="1" x14ac:dyDescent="0.2">
      <c r="A15" s="25" t="s">
        <v>57</v>
      </c>
      <c r="B15" s="15" t="s">
        <v>8</v>
      </c>
      <c r="C15" s="18">
        <v>591306.6</v>
      </c>
      <c r="D15" s="18">
        <v>586599.6</v>
      </c>
      <c r="E15" s="18">
        <v>1754</v>
      </c>
      <c r="F15" s="19">
        <f>1966.1+986.9</f>
        <v>2953</v>
      </c>
      <c r="G15" s="18" t="s">
        <v>0</v>
      </c>
      <c r="H15" s="18"/>
      <c r="I15" s="47"/>
      <c r="J15" s="8"/>
      <c r="K15" s="8"/>
      <c r="L15" s="8"/>
      <c r="M15" s="8"/>
      <c r="N15" s="8"/>
      <c r="O15" s="10"/>
      <c r="P15" s="9"/>
      <c r="Q15" s="9"/>
      <c r="R15" s="9"/>
      <c r="S15" s="5"/>
    </row>
    <row r="16" spans="1:19" ht="14.25" customHeight="1" x14ac:dyDescent="0.2">
      <c r="A16" s="23" t="s">
        <v>56</v>
      </c>
      <c r="B16" s="15" t="s">
        <v>1</v>
      </c>
      <c r="C16" s="18">
        <f>C15*1.43</f>
        <v>845568.43799999997</v>
      </c>
      <c r="D16" s="18">
        <f>D15*1.43</f>
        <v>838837.42799999996</v>
      </c>
      <c r="E16" s="18">
        <f>E15*1.43</f>
        <v>2508.2199999999998</v>
      </c>
      <c r="F16" s="18">
        <f>F15*1.43</f>
        <v>4222.79</v>
      </c>
      <c r="G16" s="18" t="s">
        <v>0</v>
      </c>
      <c r="H16" s="18"/>
      <c r="I16" s="47"/>
      <c r="J16" s="8"/>
      <c r="K16" s="8"/>
      <c r="L16" s="8"/>
      <c r="M16" s="8"/>
      <c r="N16" s="8"/>
      <c r="O16" s="10"/>
      <c r="P16" s="9"/>
      <c r="Q16" s="9"/>
      <c r="R16" s="9"/>
      <c r="S16" s="5"/>
    </row>
    <row r="17" spans="1:19" ht="9" customHeight="1" x14ac:dyDescent="0.2">
      <c r="A17" s="25"/>
      <c r="B17" s="15"/>
      <c r="C17" s="18"/>
      <c r="D17" s="18"/>
      <c r="E17" s="18"/>
      <c r="F17" s="19"/>
      <c r="G17" s="18"/>
      <c r="H17" s="18"/>
      <c r="I17" s="47"/>
      <c r="J17" s="8"/>
      <c r="K17" s="8"/>
      <c r="L17" s="8"/>
      <c r="M17" s="8"/>
      <c r="N17" s="8"/>
      <c r="O17" s="10"/>
      <c r="P17" s="9"/>
      <c r="Q17" s="9"/>
      <c r="R17" s="9"/>
      <c r="S17" s="5"/>
    </row>
    <row r="18" spans="1:19" s="17" customFormat="1" ht="28.5" customHeight="1" x14ac:dyDescent="0.2">
      <c r="A18" s="25" t="s">
        <v>55</v>
      </c>
      <c r="B18" s="21" t="s">
        <v>54</v>
      </c>
      <c r="C18" s="18">
        <v>38599042.100000001</v>
      </c>
      <c r="D18" s="18">
        <v>13239511.9</v>
      </c>
      <c r="E18" s="18">
        <v>3397385</v>
      </c>
      <c r="F18" s="19">
        <f>755312.6+20623567</f>
        <v>21378879.600000001</v>
      </c>
      <c r="G18" s="18">
        <v>583265.6</v>
      </c>
      <c r="H18" s="18"/>
      <c r="I18" s="47"/>
      <c r="J18" s="8"/>
      <c r="K18" s="8"/>
      <c r="L18" s="8"/>
      <c r="M18" s="8"/>
      <c r="N18" s="8"/>
      <c r="O18" s="10"/>
      <c r="P18" s="9"/>
      <c r="Q18" s="9"/>
      <c r="R18" s="9"/>
      <c r="S18" s="5"/>
    </row>
    <row r="19" spans="1:19" ht="14.25" customHeight="1" x14ac:dyDescent="0.2">
      <c r="A19" s="23" t="s">
        <v>53</v>
      </c>
      <c r="B19" s="15" t="s">
        <v>1</v>
      </c>
      <c r="C19" s="18">
        <f t="shared" ref="C19:G19" si="2">C18*1.16</f>
        <v>44774888.835999995</v>
      </c>
      <c r="D19" s="18">
        <f t="shared" si="2"/>
        <v>15357833.804</v>
      </c>
      <c r="E19" s="18">
        <f t="shared" si="2"/>
        <v>3940966.5999999996</v>
      </c>
      <c r="F19" s="18">
        <f t="shared" si="2"/>
        <v>24799500.335999999</v>
      </c>
      <c r="G19" s="18">
        <f t="shared" si="2"/>
        <v>676588.0959999999</v>
      </c>
      <c r="H19" s="18"/>
      <c r="I19" s="47"/>
      <c r="J19" s="8"/>
      <c r="K19" s="8"/>
      <c r="L19" s="8"/>
      <c r="M19" s="8"/>
      <c r="N19" s="8"/>
      <c r="O19" s="10"/>
      <c r="P19" s="9"/>
      <c r="Q19" s="9"/>
      <c r="R19" s="9"/>
      <c r="S19" s="5"/>
    </row>
    <row r="20" spans="1:19" ht="9" customHeight="1" x14ac:dyDescent="0.2">
      <c r="A20" s="25"/>
      <c r="B20" s="15"/>
      <c r="C20" s="28"/>
      <c r="D20" s="28"/>
      <c r="E20" s="28"/>
      <c r="F20" s="29"/>
      <c r="G20" s="28"/>
      <c r="H20" s="18"/>
      <c r="I20" s="47"/>
      <c r="J20" s="8"/>
      <c r="K20" s="8"/>
      <c r="L20" s="8"/>
      <c r="M20" s="8"/>
      <c r="N20" s="8"/>
      <c r="O20" s="10"/>
      <c r="P20" s="9"/>
      <c r="Q20" s="9"/>
      <c r="R20" s="9"/>
      <c r="S20" s="5"/>
    </row>
    <row r="21" spans="1:19" ht="14.25" customHeight="1" x14ac:dyDescent="0.2">
      <c r="A21" s="25" t="s">
        <v>52</v>
      </c>
      <c r="B21" s="15" t="s">
        <v>8</v>
      </c>
      <c r="C21" s="18">
        <v>444018.3</v>
      </c>
      <c r="D21" s="18">
        <v>382023.4</v>
      </c>
      <c r="E21" s="18">
        <v>466</v>
      </c>
      <c r="F21" s="19">
        <f>523.9+60725</f>
        <v>61248.9</v>
      </c>
      <c r="G21" s="18">
        <v>280</v>
      </c>
      <c r="H21" s="18"/>
      <c r="I21" s="47"/>
      <c r="J21" s="8"/>
      <c r="K21" s="8"/>
      <c r="L21" s="8"/>
      <c r="M21" s="8"/>
      <c r="N21" s="8"/>
      <c r="O21" s="10"/>
      <c r="P21" s="9"/>
      <c r="Q21" s="9"/>
      <c r="R21" s="9"/>
      <c r="S21" s="5"/>
    </row>
    <row r="22" spans="1:19" ht="14.25" customHeight="1" x14ac:dyDescent="0.2">
      <c r="A22" s="23" t="s">
        <v>51</v>
      </c>
      <c r="B22" s="15" t="s">
        <v>1</v>
      </c>
      <c r="C22" s="18">
        <f t="shared" ref="C22:G22" si="3">C21*0.332</f>
        <v>147414.07560000001</v>
      </c>
      <c r="D22" s="18">
        <f t="shared" si="3"/>
        <v>126831.76880000002</v>
      </c>
      <c r="E22" s="18">
        <f t="shared" si="3"/>
        <v>154.71200000000002</v>
      </c>
      <c r="F22" s="18">
        <f t="shared" si="3"/>
        <v>20334.6348</v>
      </c>
      <c r="G22" s="18">
        <f t="shared" si="3"/>
        <v>92.960000000000008</v>
      </c>
      <c r="H22" s="18"/>
      <c r="I22" s="47"/>
      <c r="J22" s="8"/>
      <c r="K22" s="8"/>
      <c r="L22" s="8"/>
      <c r="M22" s="8"/>
      <c r="N22" s="8"/>
      <c r="O22" s="10"/>
      <c r="P22" s="9"/>
      <c r="Q22" s="9"/>
      <c r="R22" s="9"/>
      <c r="S22" s="5"/>
    </row>
    <row r="23" spans="1:19" ht="9" customHeight="1" x14ac:dyDescent="0.2">
      <c r="A23" s="25"/>
      <c r="B23" s="15"/>
      <c r="C23" s="28"/>
      <c r="D23" s="28"/>
      <c r="E23" s="28"/>
      <c r="F23" s="29"/>
      <c r="G23" s="28"/>
      <c r="H23" s="18"/>
      <c r="I23" s="47"/>
      <c r="J23" s="8"/>
      <c r="K23" s="8"/>
      <c r="L23" s="8"/>
      <c r="M23" s="8"/>
      <c r="N23" s="8"/>
      <c r="O23" s="10"/>
      <c r="P23" s="9"/>
      <c r="Q23" s="9"/>
      <c r="R23" s="9"/>
      <c r="S23" s="5"/>
    </row>
    <row r="24" spans="1:19" s="17" customFormat="1" ht="28.5" customHeight="1" x14ac:dyDescent="0.2">
      <c r="A24" s="25" t="s">
        <v>50</v>
      </c>
      <c r="B24" s="21" t="s">
        <v>49</v>
      </c>
      <c r="C24" s="18">
        <v>2916602.4</v>
      </c>
      <c r="D24" s="18">
        <v>907490.3</v>
      </c>
      <c r="E24" s="18">
        <v>17053.2</v>
      </c>
      <c r="F24" s="19">
        <f>947+1991111.9</f>
        <v>1992058.9</v>
      </c>
      <c r="G24" s="18" t="s">
        <v>0</v>
      </c>
      <c r="H24" s="18"/>
      <c r="I24" s="47"/>
      <c r="J24" s="8"/>
      <c r="K24" s="8"/>
      <c r="L24" s="8"/>
      <c r="M24" s="8"/>
      <c r="N24" s="8"/>
      <c r="O24" s="10"/>
      <c r="P24" s="9"/>
      <c r="Q24" s="9"/>
      <c r="R24" s="9"/>
      <c r="S24" s="5"/>
    </row>
    <row r="25" spans="1:19" ht="14.25" customHeight="1" x14ac:dyDescent="0.2">
      <c r="A25" s="23" t="s">
        <v>48</v>
      </c>
      <c r="B25" s="15" t="s">
        <v>1</v>
      </c>
      <c r="C25" s="18">
        <f>C24*0.265</f>
        <v>772899.63600000006</v>
      </c>
      <c r="D25" s="18">
        <f>D24*0.265</f>
        <v>240484.92950000003</v>
      </c>
      <c r="E25" s="18">
        <f>E24*0.265</f>
        <v>4519.0980000000009</v>
      </c>
      <c r="F25" s="18">
        <f>F24*0.265</f>
        <v>527895.60849999997</v>
      </c>
      <c r="G25" s="18" t="s">
        <v>0</v>
      </c>
      <c r="H25" s="18"/>
      <c r="I25" s="47"/>
      <c r="J25" s="8"/>
      <c r="K25" s="8"/>
      <c r="L25" s="8"/>
      <c r="M25" s="8"/>
      <c r="N25" s="8"/>
      <c r="O25" s="10"/>
      <c r="P25" s="9"/>
      <c r="Q25" s="9"/>
      <c r="R25" s="9"/>
      <c r="S25" s="5"/>
    </row>
    <row r="26" spans="1:19" ht="9" customHeight="1" x14ac:dyDescent="0.2">
      <c r="A26" s="25"/>
      <c r="B26" s="15"/>
      <c r="C26" s="18"/>
      <c r="D26" s="18"/>
      <c r="E26" s="18"/>
      <c r="F26" s="18"/>
      <c r="G26" s="18"/>
      <c r="H26" s="18"/>
      <c r="I26" s="47"/>
      <c r="J26" s="8"/>
      <c r="K26" s="8"/>
      <c r="L26" s="8"/>
      <c r="M26" s="8"/>
      <c r="N26" s="8"/>
      <c r="O26" s="10"/>
      <c r="P26" s="9"/>
      <c r="Q26" s="9"/>
      <c r="R26" s="9"/>
      <c r="S26" s="5"/>
    </row>
    <row r="27" spans="1:19" ht="28.5" customHeight="1" x14ac:dyDescent="0.2">
      <c r="A27" s="25" t="s">
        <v>47</v>
      </c>
      <c r="B27" s="15" t="s">
        <v>8</v>
      </c>
      <c r="C27" s="18">
        <v>13173458.800000001</v>
      </c>
      <c r="D27" s="18">
        <v>6027584.7999999998</v>
      </c>
      <c r="E27" s="18">
        <v>472728.7</v>
      </c>
      <c r="F27" s="19">
        <f>53.3+6673092</f>
        <v>6673145.2999999998</v>
      </c>
      <c r="G27" s="18" t="s">
        <v>0</v>
      </c>
      <c r="H27" s="18"/>
      <c r="I27" s="47"/>
      <c r="J27" s="8"/>
      <c r="K27" s="8"/>
      <c r="L27" s="8"/>
      <c r="M27" s="8"/>
      <c r="N27" s="8"/>
      <c r="O27" s="10"/>
      <c r="P27" s="9"/>
      <c r="Q27" s="9"/>
      <c r="R27" s="9"/>
      <c r="S27" s="5"/>
    </row>
    <row r="28" spans="1:19" ht="28.5" customHeight="1" x14ac:dyDescent="0.2">
      <c r="A28" s="23" t="s">
        <v>46</v>
      </c>
      <c r="B28" s="24" t="s">
        <v>1</v>
      </c>
      <c r="C28" s="19">
        <f>C27*0.973</f>
        <v>12817775.4124</v>
      </c>
      <c r="D28" s="19">
        <f>D27*0.973</f>
        <v>5864840.0104</v>
      </c>
      <c r="E28" s="19">
        <f>E27*0.973</f>
        <v>459965.02510000003</v>
      </c>
      <c r="F28" s="19">
        <f>F27*0.973</f>
        <v>6492970.3768999996</v>
      </c>
      <c r="G28" s="19" t="s">
        <v>0</v>
      </c>
      <c r="H28" s="18"/>
      <c r="I28" s="47"/>
      <c r="J28" s="8"/>
      <c r="K28" s="8"/>
      <c r="L28" s="8"/>
      <c r="M28" s="8"/>
      <c r="N28" s="8"/>
      <c r="O28" s="10"/>
      <c r="P28" s="9"/>
      <c r="Q28" s="9"/>
      <c r="R28" s="9"/>
      <c r="S28" s="5"/>
    </row>
    <row r="29" spans="1:19" s="39" customFormat="1" ht="9" customHeight="1" x14ac:dyDescent="0.2">
      <c r="A29" s="25"/>
      <c r="B29" s="15"/>
      <c r="C29" s="28"/>
      <c r="D29" s="28"/>
      <c r="E29" s="28"/>
      <c r="F29" s="28"/>
      <c r="G29" s="28"/>
      <c r="H29" s="18"/>
      <c r="I29" s="47"/>
      <c r="J29" s="8"/>
      <c r="K29" s="8"/>
      <c r="L29" s="8"/>
      <c r="M29" s="8"/>
      <c r="N29" s="8"/>
      <c r="O29" s="10"/>
      <c r="P29" s="9"/>
      <c r="Q29" s="9"/>
      <c r="R29" s="9"/>
      <c r="S29" s="5"/>
    </row>
    <row r="30" spans="1:19" ht="14.25" customHeight="1" x14ac:dyDescent="0.2">
      <c r="A30" s="25" t="s">
        <v>45</v>
      </c>
      <c r="B30" s="15" t="s">
        <v>8</v>
      </c>
      <c r="C30" s="18">
        <f>3106083-7879</f>
        <v>3098204</v>
      </c>
      <c r="D30" s="18">
        <v>91</v>
      </c>
      <c r="E30" s="18">
        <v>397</v>
      </c>
      <c r="F30" s="19">
        <f>8256+3096990-7879</f>
        <v>3097367</v>
      </c>
      <c r="G30" s="18">
        <v>348.5</v>
      </c>
      <c r="H30" s="18"/>
      <c r="I30" s="47"/>
      <c r="J30" s="8"/>
      <c r="K30" s="8"/>
      <c r="L30" s="8"/>
      <c r="M30" s="8"/>
      <c r="N30" s="8"/>
      <c r="O30" s="10"/>
      <c r="P30" s="9"/>
      <c r="Q30" s="9"/>
      <c r="R30" s="9"/>
      <c r="S30" s="5"/>
    </row>
    <row r="31" spans="1:19" ht="14.25" customHeight="1" x14ac:dyDescent="0.2">
      <c r="A31" s="23" t="s">
        <v>44</v>
      </c>
      <c r="B31" s="15" t="s">
        <v>1</v>
      </c>
      <c r="C31" s="18">
        <f t="shared" ref="C31:G31" si="4">C30*1.49</f>
        <v>4616323.96</v>
      </c>
      <c r="D31" s="18">
        <f t="shared" si="4"/>
        <v>135.59</v>
      </c>
      <c r="E31" s="18">
        <f t="shared" si="4"/>
        <v>591.53</v>
      </c>
      <c r="F31" s="18">
        <f t="shared" si="4"/>
        <v>4615076.83</v>
      </c>
      <c r="G31" s="18">
        <f t="shared" si="4"/>
        <v>519.26499999999999</v>
      </c>
      <c r="H31" s="18"/>
      <c r="I31" s="47"/>
      <c r="J31" s="8"/>
      <c r="K31" s="8"/>
      <c r="L31" s="8"/>
      <c r="M31" s="8"/>
      <c r="N31" s="8"/>
      <c r="O31" s="10"/>
      <c r="P31" s="9"/>
      <c r="Q31" s="9"/>
      <c r="R31" s="9"/>
      <c r="S31" s="5"/>
    </row>
    <row r="32" spans="1:19" ht="9" customHeight="1" x14ac:dyDescent="0.2">
      <c r="A32" s="25"/>
      <c r="B32" s="15"/>
      <c r="C32" s="18"/>
      <c r="D32" s="18"/>
      <c r="E32" s="18"/>
      <c r="F32" s="19"/>
      <c r="G32" s="18"/>
      <c r="H32" s="18"/>
      <c r="I32" s="47"/>
      <c r="J32" s="8"/>
      <c r="K32" s="8"/>
      <c r="L32" s="8"/>
      <c r="M32" s="8"/>
      <c r="N32" s="8"/>
      <c r="O32" s="10"/>
      <c r="P32" s="9"/>
      <c r="Q32" s="9"/>
      <c r="R32" s="9"/>
      <c r="S32" s="5"/>
    </row>
    <row r="33" spans="1:19" ht="14.25" customHeight="1" x14ac:dyDescent="0.2">
      <c r="A33" s="25" t="s">
        <v>43</v>
      </c>
      <c r="B33" s="15" t="s">
        <v>8</v>
      </c>
      <c r="C33" s="18">
        <f>5437271-71953</f>
        <v>5365318</v>
      </c>
      <c r="D33" s="18">
        <f>28907+57</f>
        <v>28964</v>
      </c>
      <c r="E33" s="18">
        <v>306</v>
      </c>
      <c r="F33" s="19">
        <f>63086+5344544-72009.2</f>
        <v>5335620.8</v>
      </c>
      <c r="G33" s="18">
        <v>428.8</v>
      </c>
      <c r="H33" s="18"/>
      <c r="I33" s="47"/>
      <c r="J33" s="8"/>
      <c r="K33" s="8"/>
      <c r="L33" s="8"/>
      <c r="M33" s="8"/>
      <c r="N33" s="8"/>
      <c r="O33" s="10"/>
      <c r="P33" s="9"/>
      <c r="Q33" s="9"/>
      <c r="R33" s="9"/>
      <c r="S33" s="5"/>
    </row>
    <row r="34" spans="1:19" ht="14.25" customHeight="1" x14ac:dyDescent="0.2">
      <c r="A34" s="23" t="s">
        <v>42</v>
      </c>
      <c r="B34" s="15" t="s">
        <v>1</v>
      </c>
      <c r="C34" s="18">
        <f t="shared" ref="C34:G34" si="5">C33*1.45</f>
        <v>7779711.0999999996</v>
      </c>
      <c r="D34" s="18">
        <f t="shared" si="5"/>
        <v>41997.799999999996</v>
      </c>
      <c r="E34" s="18">
        <f t="shared" si="5"/>
        <v>443.7</v>
      </c>
      <c r="F34" s="18">
        <f t="shared" si="5"/>
        <v>7736650.1599999992</v>
      </c>
      <c r="G34" s="18">
        <f t="shared" si="5"/>
        <v>621.76</v>
      </c>
      <c r="H34" s="18"/>
      <c r="I34" s="47"/>
      <c r="J34" s="8"/>
      <c r="K34" s="8"/>
      <c r="L34" s="8"/>
      <c r="M34" s="8"/>
      <c r="N34" s="8"/>
      <c r="O34" s="10"/>
      <c r="P34" s="9"/>
      <c r="Q34" s="9"/>
      <c r="R34" s="9"/>
      <c r="S34" s="5"/>
    </row>
    <row r="35" spans="1:19" ht="9" customHeight="1" x14ac:dyDescent="0.2">
      <c r="A35" s="25"/>
      <c r="B35" s="15"/>
      <c r="C35" s="18"/>
      <c r="D35" s="18"/>
      <c r="E35" s="18"/>
      <c r="F35" s="19"/>
      <c r="G35" s="18"/>
      <c r="H35" s="18"/>
      <c r="I35" s="47"/>
      <c r="J35" s="8"/>
      <c r="K35" s="8"/>
      <c r="L35" s="8"/>
      <c r="M35" s="8"/>
      <c r="N35" s="8"/>
      <c r="O35" s="10"/>
      <c r="P35" s="9"/>
      <c r="Q35" s="9"/>
      <c r="R35" s="9"/>
      <c r="S35" s="5"/>
    </row>
    <row r="36" spans="1:19" ht="14.25" customHeight="1" x14ac:dyDescent="0.2">
      <c r="A36" s="25" t="s">
        <v>41</v>
      </c>
      <c r="B36" s="15" t="s">
        <v>8</v>
      </c>
      <c r="C36" s="18">
        <f>5060.5+134441.5</f>
        <v>139502</v>
      </c>
      <c r="D36" s="18" t="s">
        <v>0</v>
      </c>
      <c r="E36" s="18">
        <f>781.9+179</f>
        <v>960.9</v>
      </c>
      <c r="F36" s="19">
        <f>0.4+4278.2+134080.9</f>
        <v>138359.5</v>
      </c>
      <c r="G36" s="18">
        <v>181.6</v>
      </c>
      <c r="H36" s="18"/>
      <c r="I36" s="47"/>
      <c r="J36" s="8"/>
      <c r="K36" s="8"/>
      <c r="L36" s="8"/>
      <c r="M36" s="8"/>
      <c r="N36" s="8"/>
      <c r="O36" s="10"/>
      <c r="P36" s="9"/>
      <c r="Q36" s="9"/>
      <c r="R36" s="9"/>
      <c r="S36" s="5"/>
    </row>
    <row r="37" spans="1:19" ht="14.25" customHeight="1" x14ac:dyDescent="0.2">
      <c r="A37" s="23" t="s">
        <v>40</v>
      </c>
      <c r="B37" s="15" t="s">
        <v>1</v>
      </c>
      <c r="C37" s="18">
        <f>C36*1.47</f>
        <v>205067.94</v>
      </c>
      <c r="D37" s="18" t="s">
        <v>0</v>
      </c>
      <c r="E37" s="18">
        <f>E36*1.47</f>
        <v>1412.5229999999999</v>
      </c>
      <c r="F37" s="18">
        <f>F36*1.47</f>
        <v>203388.465</v>
      </c>
      <c r="G37" s="18">
        <f>G36*1.47</f>
        <v>266.952</v>
      </c>
      <c r="H37" s="18"/>
      <c r="I37" s="47"/>
      <c r="J37" s="8"/>
      <c r="K37" s="8"/>
      <c r="L37" s="8"/>
      <c r="M37" s="8"/>
      <c r="N37" s="8"/>
      <c r="O37" s="10"/>
      <c r="P37" s="9"/>
      <c r="Q37" s="9"/>
      <c r="R37" s="9"/>
      <c r="S37" s="5"/>
    </row>
    <row r="38" spans="1:19" ht="9" customHeight="1" x14ac:dyDescent="0.2">
      <c r="A38" s="25"/>
      <c r="B38" s="15"/>
      <c r="C38" s="18"/>
      <c r="D38" s="18"/>
      <c r="E38" s="18"/>
      <c r="F38" s="19"/>
      <c r="G38" s="18"/>
      <c r="H38" s="18"/>
      <c r="I38" s="47"/>
      <c r="J38" s="8"/>
      <c r="K38" s="8"/>
      <c r="L38" s="8"/>
      <c r="M38" s="8"/>
      <c r="N38" s="8"/>
      <c r="O38" s="10"/>
      <c r="P38" s="9"/>
      <c r="Q38" s="9"/>
      <c r="R38" s="9"/>
      <c r="S38" s="5"/>
    </row>
    <row r="39" spans="1:19" ht="14.25" customHeight="1" x14ac:dyDescent="0.2">
      <c r="A39" s="25" t="s">
        <v>39</v>
      </c>
      <c r="B39" s="15" t="s">
        <v>8</v>
      </c>
      <c r="C39" s="18">
        <v>144708.29999999999</v>
      </c>
      <c r="D39" s="18">
        <v>89180.7</v>
      </c>
      <c r="E39" s="18">
        <v>4245.3999999999996</v>
      </c>
      <c r="F39" s="19">
        <f>22143.3+26759.8</f>
        <v>48903.1</v>
      </c>
      <c r="G39" s="18">
        <v>2379.1</v>
      </c>
      <c r="H39" s="18"/>
      <c r="I39" s="47"/>
      <c r="J39" s="8"/>
      <c r="K39" s="8"/>
      <c r="L39" s="8"/>
      <c r="M39" s="8"/>
      <c r="N39" s="8"/>
      <c r="O39" s="10"/>
      <c r="P39" s="9"/>
      <c r="Q39" s="9"/>
      <c r="R39" s="9"/>
      <c r="S39" s="5"/>
    </row>
    <row r="40" spans="1:19" ht="14.25" customHeight="1" x14ac:dyDescent="0.2">
      <c r="A40" s="23" t="s">
        <v>38</v>
      </c>
      <c r="B40" s="15" t="s">
        <v>1</v>
      </c>
      <c r="C40" s="18">
        <f t="shared" ref="C40:G40" si="6">C39*1.37</f>
        <v>198250.37100000001</v>
      </c>
      <c r="D40" s="18">
        <f t="shared" si="6"/>
        <v>122177.55900000001</v>
      </c>
      <c r="E40" s="18">
        <f t="shared" si="6"/>
        <v>5816.1980000000003</v>
      </c>
      <c r="F40" s="18">
        <f t="shared" si="6"/>
        <v>66997.247000000003</v>
      </c>
      <c r="G40" s="18">
        <f t="shared" si="6"/>
        <v>3259.3670000000002</v>
      </c>
      <c r="H40" s="18"/>
      <c r="I40" s="47"/>
      <c r="J40" s="8"/>
      <c r="K40" s="8"/>
      <c r="L40" s="8"/>
      <c r="M40" s="8"/>
      <c r="N40" s="8"/>
      <c r="O40" s="10"/>
      <c r="P40" s="9"/>
      <c r="Q40" s="9"/>
      <c r="R40" s="9"/>
      <c r="S40" s="5"/>
    </row>
    <row r="41" spans="1:19" ht="9" customHeight="1" x14ac:dyDescent="0.2">
      <c r="A41" s="25" t="s">
        <v>37</v>
      </c>
      <c r="B41" s="15"/>
      <c r="C41" s="18"/>
      <c r="D41" s="18"/>
      <c r="E41" s="18"/>
      <c r="F41" s="19"/>
      <c r="G41" s="18"/>
      <c r="H41" s="18"/>
      <c r="I41" s="47"/>
      <c r="J41" s="8"/>
      <c r="K41" s="8"/>
      <c r="L41" s="8"/>
      <c r="M41" s="8"/>
      <c r="N41" s="8"/>
      <c r="O41" s="10"/>
      <c r="P41" s="9"/>
      <c r="Q41" s="9"/>
      <c r="R41" s="9"/>
      <c r="S41" s="5"/>
    </row>
    <row r="42" spans="1:19" ht="14.25" customHeight="1" x14ac:dyDescent="0.2">
      <c r="A42" s="25" t="s">
        <v>36</v>
      </c>
      <c r="B42" s="15" t="s">
        <v>8</v>
      </c>
      <c r="C42" s="18">
        <v>600450</v>
      </c>
      <c r="D42" s="18">
        <v>479</v>
      </c>
      <c r="E42" s="18">
        <v>970</v>
      </c>
      <c r="F42" s="19">
        <f>678+597423</f>
        <v>598101</v>
      </c>
      <c r="G42" s="18">
        <v>900.6</v>
      </c>
      <c r="H42" s="18"/>
      <c r="I42" s="47"/>
      <c r="J42" s="8"/>
      <c r="K42" s="8"/>
      <c r="L42" s="8"/>
      <c r="M42" s="8"/>
      <c r="N42" s="8"/>
      <c r="O42" s="10"/>
      <c r="P42" s="9"/>
      <c r="Q42" s="9"/>
      <c r="R42" s="9"/>
      <c r="S42" s="5"/>
    </row>
    <row r="43" spans="1:19" ht="14.25" customHeight="1" x14ac:dyDescent="0.2">
      <c r="A43" s="23" t="s">
        <v>35</v>
      </c>
      <c r="B43" s="15" t="s">
        <v>1</v>
      </c>
      <c r="C43" s="18">
        <f t="shared" ref="C43:G43" si="7">C42*1.57</f>
        <v>942706.5</v>
      </c>
      <c r="D43" s="18">
        <f t="shared" si="7"/>
        <v>752.03000000000009</v>
      </c>
      <c r="E43" s="18">
        <f t="shared" si="7"/>
        <v>1522.9</v>
      </c>
      <c r="F43" s="18">
        <f t="shared" si="7"/>
        <v>939018.57000000007</v>
      </c>
      <c r="G43" s="18">
        <f t="shared" si="7"/>
        <v>1413.942</v>
      </c>
      <c r="H43" s="18"/>
      <c r="I43" s="47"/>
      <c r="J43" s="8"/>
      <c r="K43" s="8"/>
      <c r="L43" s="8"/>
      <c r="M43" s="8"/>
      <c r="N43" s="8"/>
      <c r="O43" s="10"/>
      <c r="P43" s="9"/>
      <c r="Q43" s="9"/>
      <c r="R43" s="9"/>
      <c r="S43" s="5"/>
    </row>
    <row r="44" spans="1:19" ht="9" customHeight="1" x14ac:dyDescent="0.2">
      <c r="A44" s="25"/>
      <c r="B44" s="15"/>
      <c r="C44" s="28"/>
      <c r="D44" s="28"/>
      <c r="E44" s="28"/>
      <c r="F44" s="28"/>
      <c r="G44" s="28"/>
      <c r="H44" s="18"/>
      <c r="I44" s="47"/>
      <c r="J44" s="8"/>
      <c r="K44" s="8"/>
      <c r="L44" s="8"/>
      <c r="M44" s="8"/>
      <c r="N44" s="8"/>
      <c r="O44" s="10"/>
      <c r="P44" s="9"/>
      <c r="Q44" s="9"/>
      <c r="R44" s="9"/>
      <c r="S44" s="5"/>
    </row>
    <row r="45" spans="1:19" ht="42.75" customHeight="1" x14ac:dyDescent="0.2">
      <c r="A45" s="25" t="s">
        <v>34</v>
      </c>
      <c r="B45" s="15" t="s">
        <v>8</v>
      </c>
      <c r="C45" s="14">
        <v>384860</v>
      </c>
      <c r="D45" s="14">
        <v>9316.2999999999993</v>
      </c>
      <c r="E45" s="18">
        <v>200.8</v>
      </c>
      <c r="F45" s="14">
        <f>360971.7+14277.4</f>
        <v>375249.10000000003</v>
      </c>
      <c r="G45" s="14">
        <v>93.8</v>
      </c>
      <c r="H45" s="18"/>
      <c r="I45" s="47"/>
      <c r="J45" s="8"/>
      <c r="K45" s="8"/>
      <c r="L45" s="8"/>
      <c r="M45" s="8"/>
      <c r="N45" s="8"/>
      <c r="O45" s="10"/>
      <c r="P45" s="9"/>
      <c r="Q45" s="9"/>
      <c r="R45" s="9"/>
      <c r="S45" s="5"/>
    </row>
    <row r="46" spans="1:19" ht="57" x14ac:dyDescent="0.2">
      <c r="A46" s="16" t="s">
        <v>33</v>
      </c>
      <c r="B46" s="15" t="s">
        <v>1</v>
      </c>
      <c r="C46" s="14">
        <f t="shared" ref="C46:G46" si="8">C45*1.49</f>
        <v>573441.4</v>
      </c>
      <c r="D46" s="14">
        <f t="shared" si="8"/>
        <v>13881.286999999998</v>
      </c>
      <c r="E46" s="14">
        <f t="shared" si="8"/>
        <v>299.19200000000001</v>
      </c>
      <c r="F46" s="14">
        <f t="shared" si="8"/>
        <v>559121.1590000001</v>
      </c>
      <c r="G46" s="14">
        <f t="shared" si="8"/>
        <v>139.762</v>
      </c>
      <c r="H46" s="18"/>
      <c r="I46" s="47"/>
      <c r="J46" s="8"/>
      <c r="K46" s="8"/>
      <c r="L46" s="8"/>
      <c r="M46" s="8"/>
      <c r="N46" s="8"/>
      <c r="O46" s="10"/>
      <c r="P46" s="9"/>
      <c r="Q46" s="9"/>
      <c r="R46" s="9"/>
      <c r="S46" s="5"/>
    </row>
    <row r="47" spans="1:19" ht="9" customHeight="1" x14ac:dyDescent="0.2">
      <c r="A47" s="23"/>
      <c r="B47" s="15"/>
      <c r="C47" s="38"/>
      <c r="D47" s="38"/>
      <c r="E47" s="38"/>
      <c r="F47" s="38"/>
      <c r="G47" s="38"/>
      <c r="H47" s="18"/>
      <c r="I47" s="47"/>
      <c r="J47" s="8"/>
      <c r="K47" s="8"/>
      <c r="L47" s="8"/>
      <c r="M47" s="8"/>
      <c r="N47" s="8"/>
      <c r="O47" s="10"/>
      <c r="P47" s="9"/>
      <c r="Q47" s="9"/>
      <c r="R47" s="9"/>
      <c r="S47" s="5"/>
    </row>
    <row r="48" spans="1:19" ht="14.25" customHeight="1" x14ac:dyDescent="0.2">
      <c r="A48" s="37"/>
      <c r="B48" s="36"/>
      <c r="C48" s="51" t="s">
        <v>32</v>
      </c>
      <c r="D48" s="51"/>
      <c r="E48" s="51"/>
      <c r="F48" s="51"/>
      <c r="G48" s="51"/>
      <c r="H48" s="18"/>
      <c r="I48" s="47"/>
      <c r="J48" s="8"/>
      <c r="K48" s="8"/>
      <c r="L48" s="8"/>
      <c r="M48" s="8"/>
      <c r="N48" s="8"/>
      <c r="O48" s="10"/>
      <c r="P48" s="9"/>
      <c r="Q48" s="9"/>
      <c r="R48" s="9"/>
      <c r="S48" s="5"/>
    </row>
    <row r="49" spans="1:19" ht="14.25" customHeight="1" x14ac:dyDescent="0.2">
      <c r="A49" s="49"/>
      <c r="B49" s="52" t="s">
        <v>67</v>
      </c>
      <c r="C49" s="54" t="s">
        <v>66</v>
      </c>
      <c r="D49" s="56" t="s">
        <v>29</v>
      </c>
      <c r="E49" s="56"/>
      <c r="F49" s="56"/>
      <c r="G49" s="56"/>
      <c r="H49" s="18"/>
      <c r="I49" s="47"/>
      <c r="J49" s="8"/>
      <c r="K49" s="8"/>
      <c r="L49" s="8"/>
      <c r="M49" s="8"/>
      <c r="N49" s="8"/>
      <c r="O49" s="10"/>
      <c r="P49" s="9"/>
      <c r="Q49" s="9"/>
      <c r="R49" s="9"/>
      <c r="S49" s="5"/>
    </row>
    <row r="50" spans="1:19" ht="171" customHeight="1" x14ac:dyDescent="0.2">
      <c r="A50" s="50"/>
      <c r="B50" s="53"/>
      <c r="C50" s="55"/>
      <c r="D50" s="35" t="s">
        <v>28</v>
      </c>
      <c r="E50" s="34" t="s">
        <v>27</v>
      </c>
      <c r="F50" s="34" t="s">
        <v>26</v>
      </c>
      <c r="G50" s="33" t="s">
        <v>25</v>
      </c>
      <c r="H50" s="18"/>
      <c r="I50" s="47"/>
      <c r="J50" s="8"/>
      <c r="K50" s="8"/>
      <c r="L50" s="8"/>
      <c r="M50" s="8"/>
      <c r="N50" s="8"/>
      <c r="O50" s="10"/>
      <c r="P50" s="9"/>
      <c r="Q50" s="9"/>
      <c r="R50" s="9"/>
      <c r="S50" s="5"/>
    </row>
    <row r="51" spans="1:19" ht="9" customHeight="1" x14ac:dyDescent="0.2">
      <c r="B51" s="32"/>
      <c r="C51" s="31"/>
      <c r="D51" s="30"/>
      <c r="E51" s="30"/>
      <c r="F51" s="30"/>
      <c r="G51" s="30"/>
      <c r="H51" s="18"/>
      <c r="I51" s="47"/>
      <c r="J51" s="8"/>
      <c r="K51" s="8"/>
      <c r="L51" s="8"/>
      <c r="M51" s="8"/>
      <c r="N51" s="8"/>
      <c r="O51" s="10"/>
      <c r="P51" s="9"/>
      <c r="Q51" s="9"/>
      <c r="R51" s="9"/>
      <c r="S51" s="5"/>
    </row>
    <row r="52" spans="1:19" ht="28.5" customHeight="1" x14ac:dyDescent="0.2">
      <c r="A52" s="25" t="s">
        <v>24</v>
      </c>
      <c r="B52" s="15" t="s">
        <v>8</v>
      </c>
      <c r="C52" s="18">
        <v>275.2</v>
      </c>
      <c r="D52" s="18" t="s">
        <v>0</v>
      </c>
      <c r="E52" s="18">
        <v>267</v>
      </c>
      <c r="F52" s="18">
        <v>8.1999999999999993</v>
      </c>
      <c r="G52" s="18" t="s">
        <v>0</v>
      </c>
      <c r="H52" s="18"/>
      <c r="I52" s="47"/>
      <c r="J52" s="8"/>
      <c r="K52" s="8"/>
      <c r="L52" s="8"/>
      <c r="M52" s="8"/>
      <c r="N52" s="8"/>
      <c r="O52" s="10"/>
      <c r="P52" s="9"/>
      <c r="Q52" s="9"/>
      <c r="R52" s="9"/>
      <c r="S52" s="5"/>
    </row>
    <row r="53" spans="1:19" ht="14.25" customHeight="1" x14ac:dyDescent="0.2">
      <c r="A53" s="16" t="s">
        <v>23</v>
      </c>
      <c r="B53" s="15" t="s">
        <v>1</v>
      </c>
      <c r="C53" s="18">
        <f>C52*1.479</f>
        <v>407.02080000000001</v>
      </c>
      <c r="D53" s="18" t="s">
        <v>0</v>
      </c>
      <c r="E53" s="18">
        <f>E52*1.479</f>
        <v>394.89300000000003</v>
      </c>
      <c r="F53" s="18">
        <f>F52*1.479</f>
        <v>12.127800000000001</v>
      </c>
      <c r="G53" s="18" t="s">
        <v>0</v>
      </c>
      <c r="H53" s="18"/>
      <c r="I53" s="47"/>
      <c r="J53" s="8"/>
      <c r="K53" s="8"/>
      <c r="L53" s="8"/>
      <c r="M53" s="8"/>
      <c r="N53" s="8"/>
      <c r="O53" s="10"/>
      <c r="P53" s="9"/>
      <c r="Q53" s="9"/>
      <c r="R53" s="9"/>
      <c r="S53" s="5"/>
    </row>
    <row r="54" spans="1:19" ht="9" customHeight="1" x14ac:dyDescent="0.2">
      <c r="A54" s="16"/>
      <c r="B54" s="15"/>
      <c r="C54" s="18"/>
      <c r="D54" s="18"/>
      <c r="E54" s="18"/>
      <c r="F54" s="18"/>
      <c r="G54" s="18"/>
      <c r="H54" s="18"/>
      <c r="I54" s="47"/>
      <c r="J54" s="8"/>
      <c r="K54" s="8"/>
      <c r="L54" s="8"/>
      <c r="M54" s="8"/>
      <c r="N54" s="8"/>
      <c r="O54" s="10"/>
      <c r="P54" s="9"/>
      <c r="Q54" s="9"/>
      <c r="R54" s="9"/>
      <c r="S54" s="5"/>
    </row>
    <row r="55" spans="1:19" ht="42.75" customHeight="1" x14ac:dyDescent="0.2">
      <c r="A55" s="25" t="s">
        <v>22</v>
      </c>
      <c r="B55" s="15" t="s">
        <v>8</v>
      </c>
      <c r="C55" s="18">
        <v>1873</v>
      </c>
      <c r="D55" s="18">
        <v>570.20000000000005</v>
      </c>
      <c r="E55" s="18">
        <v>856.2</v>
      </c>
      <c r="F55" s="19">
        <v>446.6</v>
      </c>
      <c r="G55" s="18" t="s">
        <v>0</v>
      </c>
      <c r="H55" s="18"/>
      <c r="I55" s="47"/>
      <c r="J55" s="8"/>
      <c r="K55" s="8"/>
      <c r="L55" s="8"/>
      <c r="M55" s="8"/>
      <c r="N55" s="8"/>
      <c r="O55" s="10"/>
      <c r="P55" s="9"/>
      <c r="Q55" s="9"/>
      <c r="R55" s="9"/>
      <c r="S55" s="5"/>
    </row>
    <row r="56" spans="1:19" ht="14.25" customHeight="1" x14ac:dyDescent="0.2">
      <c r="A56" s="23" t="s">
        <v>21</v>
      </c>
      <c r="B56" s="15" t="s">
        <v>20</v>
      </c>
      <c r="C56" s="18">
        <f>C55*0.59</f>
        <v>1105.07</v>
      </c>
      <c r="D56" s="18">
        <f>D55*0.59</f>
        <v>336.41800000000001</v>
      </c>
      <c r="E56" s="18">
        <f>E55*0.59</f>
        <v>505.15800000000002</v>
      </c>
      <c r="F56" s="18">
        <f>F55*0.59</f>
        <v>263.49399999999997</v>
      </c>
      <c r="G56" s="18" t="s">
        <v>0</v>
      </c>
      <c r="H56" s="18"/>
      <c r="I56" s="47"/>
      <c r="J56" s="8"/>
      <c r="K56" s="8"/>
      <c r="L56" s="8"/>
      <c r="M56" s="8"/>
      <c r="N56" s="8"/>
      <c r="O56" s="10"/>
      <c r="P56" s="9"/>
      <c r="Q56" s="9"/>
      <c r="R56" s="9"/>
      <c r="S56" s="5"/>
    </row>
    <row r="57" spans="1:19" ht="9" customHeight="1" x14ac:dyDescent="0.2">
      <c r="A57" s="25"/>
      <c r="B57" s="15"/>
      <c r="C57" s="28"/>
      <c r="D57" s="28"/>
      <c r="E57" s="28"/>
      <c r="F57" s="29"/>
      <c r="G57" s="28"/>
      <c r="H57" s="18"/>
      <c r="I57" s="47"/>
      <c r="J57" s="8"/>
      <c r="K57" s="8"/>
      <c r="L57" s="8"/>
      <c r="M57" s="8"/>
      <c r="N57" s="8"/>
      <c r="O57" s="10"/>
      <c r="P57" s="9"/>
      <c r="Q57" s="9"/>
      <c r="R57" s="9"/>
      <c r="S57" s="5"/>
    </row>
    <row r="58" spans="1:19" ht="28.5" customHeight="1" x14ac:dyDescent="0.2">
      <c r="A58" s="25" t="s">
        <v>19</v>
      </c>
      <c r="B58" s="15" t="s">
        <v>8</v>
      </c>
      <c r="C58" s="18">
        <v>1070.5</v>
      </c>
      <c r="D58" s="18">
        <v>712.3</v>
      </c>
      <c r="E58" s="18" t="s">
        <v>0</v>
      </c>
      <c r="F58" s="19">
        <v>358.2</v>
      </c>
      <c r="G58" s="18" t="s">
        <v>0</v>
      </c>
      <c r="H58" s="18"/>
      <c r="I58" s="47"/>
      <c r="J58" s="8"/>
      <c r="K58" s="8"/>
      <c r="L58" s="8"/>
      <c r="M58" s="8"/>
      <c r="N58" s="8"/>
      <c r="O58" s="10"/>
      <c r="P58" s="9"/>
      <c r="Q58" s="9"/>
      <c r="R58" s="9"/>
      <c r="S58" s="5"/>
    </row>
    <row r="59" spans="1:19" ht="14.25" customHeight="1" x14ac:dyDescent="0.2">
      <c r="A59" s="23" t="s">
        <v>18</v>
      </c>
      <c r="B59" s="15" t="s">
        <v>1</v>
      </c>
      <c r="C59" s="18">
        <f>C58*0.564</f>
        <v>603.76199999999994</v>
      </c>
      <c r="D59" s="18">
        <f>D58*0.564</f>
        <v>401.73719999999992</v>
      </c>
      <c r="E59" s="18" t="s">
        <v>0</v>
      </c>
      <c r="F59" s="18">
        <f>F58*0.564</f>
        <v>202.02479999999997</v>
      </c>
      <c r="G59" s="18" t="s">
        <v>0</v>
      </c>
      <c r="H59" s="18"/>
      <c r="I59" s="47"/>
      <c r="J59" s="8"/>
      <c r="K59" s="8"/>
      <c r="L59" s="8"/>
      <c r="M59" s="8"/>
      <c r="N59" s="8"/>
      <c r="O59" s="10"/>
      <c r="P59" s="9"/>
      <c r="Q59" s="9"/>
      <c r="R59" s="9"/>
      <c r="S59" s="5"/>
    </row>
    <row r="60" spans="1:19" ht="9" customHeight="1" x14ac:dyDescent="0.2">
      <c r="A60" s="25"/>
      <c r="B60" s="15"/>
      <c r="C60" s="18"/>
      <c r="D60" s="18"/>
      <c r="E60" s="18"/>
      <c r="F60" s="19"/>
      <c r="G60" s="18"/>
      <c r="H60" s="18"/>
      <c r="I60" s="47"/>
      <c r="J60" s="8"/>
      <c r="K60" s="8"/>
      <c r="L60" s="8"/>
      <c r="M60" s="8"/>
      <c r="N60" s="8"/>
      <c r="O60" s="10"/>
      <c r="P60" s="9"/>
      <c r="Q60" s="9"/>
      <c r="R60" s="9"/>
      <c r="S60" s="5"/>
    </row>
    <row r="61" spans="1:19" ht="28.5" customHeight="1" x14ac:dyDescent="0.2">
      <c r="A61" s="25" t="s">
        <v>17</v>
      </c>
      <c r="B61" s="15" t="s">
        <v>8</v>
      </c>
      <c r="C61" s="18">
        <v>141812</v>
      </c>
      <c r="D61" s="18">
        <v>61001.9</v>
      </c>
      <c r="E61" s="18" t="s">
        <v>0</v>
      </c>
      <c r="F61" s="19">
        <f>468.2+80044.9</f>
        <v>80513.099999999991</v>
      </c>
      <c r="G61" s="18">
        <v>297</v>
      </c>
      <c r="H61" s="18"/>
      <c r="I61" s="47"/>
      <c r="J61" s="8"/>
      <c r="K61" s="8"/>
      <c r="L61" s="8"/>
      <c r="M61" s="8"/>
      <c r="N61" s="8"/>
      <c r="O61" s="10"/>
      <c r="P61" s="9"/>
      <c r="Q61" s="9"/>
      <c r="R61" s="9"/>
      <c r="S61" s="5"/>
    </row>
    <row r="62" spans="1:19" ht="14.25" customHeight="1" x14ac:dyDescent="0.2">
      <c r="A62" s="25" t="s">
        <v>16</v>
      </c>
      <c r="B62" s="15" t="s">
        <v>1</v>
      </c>
      <c r="C62" s="18">
        <f>C61*0.5</f>
        <v>70906</v>
      </c>
      <c r="D62" s="18">
        <f>D61*0.5</f>
        <v>30500.95</v>
      </c>
      <c r="E62" s="18" t="s">
        <v>0</v>
      </c>
      <c r="F62" s="18">
        <f>F61*0.5</f>
        <v>40256.549999999996</v>
      </c>
      <c r="G62" s="18">
        <f>G61*0.5</f>
        <v>148.5</v>
      </c>
      <c r="H62" s="18"/>
      <c r="I62" s="47"/>
      <c r="J62" s="8"/>
      <c r="K62" s="8"/>
      <c r="L62" s="8"/>
      <c r="M62" s="8"/>
      <c r="N62" s="8"/>
      <c r="O62" s="10"/>
      <c r="P62" s="9"/>
      <c r="Q62" s="9"/>
      <c r="R62" s="9"/>
      <c r="S62" s="5"/>
    </row>
    <row r="63" spans="1:19" ht="9" customHeight="1" x14ac:dyDescent="0.2">
      <c r="A63" s="25"/>
      <c r="B63" s="15"/>
      <c r="C63" s="18"/>
      <c r="D63" s="18"/>
      <c r="E63" s="18"/>
      <c r="F63" s="19"/>
      <c r="G63" s="18"/>
      <c r="H63" s="18"/>
      <c r="I63" s="47"/>
      <c r="J63" s="8"/>
      <c r="K63" s="8"/>
      <c r="L63" s="8"/>
      <c r="M63" s="8"/>
      <c r="N63" s="8"/>
      <c r="O63" s="10"/>
      <c r="P63" s="9"/>
      <c r="Q63" s="9"/>
      <c r="R63" s="9"/>
      <c r="S63" s="5"/>
    </row>
    <row r="64" spans="1:19" ht="28.5" customHeight="1" x14ac:dyDescent="0.2">
      <c r="A64" s="25" t="s">
        <v>15</v>
      </c>
      <c r="B64" s="15" t="s">
        <v>8</v>
      </c>
      <c r="C64" s="18">
        <v>139732.5</v>
      </c>
      <c r="D64" s="18" t="s">
        <v>0</v>
      </c>
      <c r="E64" s="18">
        <v>71727</v>
      </c>
      <c r="F64" s="19">
        <v>68005.5</v>
      </c>
      <c r="G64" s="18" t="s">
        <v>0</v>
      </c>
      <c r="H64" s="18"/>
      <c r="I64" s="47"/>
      <c r="J64" s="8"/>
      <c r="K64" s="8"/>
      <c r="L64" s="8"/>
      <c r="M64" s="8"/>
      <c r="N64" s="8"/>
      <c r="O64" s="10"/>
      <c r="P64" s="9"/>
      <c r="Q64" s="9"/>
      <c r="R64" s="9"/>
      <c r="S64" s="5"/>
    </row>
    <row r="65" spans="1:19" ht="14.25" customHeight="1" x14ac:dyDescent="0.2">
      <c r="A65" s="23" t="s">
        <v>14</v>
      </c>
      <c r="B65" s="15" t="s">
        <v>1</v>
      </c>
      <c r="C65" s="18">
        <f>C64*1.35</f>
        <v>188638.875</v>
      </c>
      <c r="D65" s="18" t="s">
        <v>0</v>
      </c>
      <c r="E65" s="18">
        <f>E64*1.35</f>
        <v>96831.450000000012</v>
      </c>
      <c r="F65" s="18">
        <f>F64*1.35</f>
        <v>91807.425000000003</v>
      </c>
      <c r="G65" s="18" t="s">
        <v>0</v>
      </c>
      <c r="H65" s="18"/>
      <c r="I65" s="47"/>
      <c r="J65" s="8"/>
      <c r="K65" s="8"/>
      <c r="L65" s="8"/>
      <c r="M65" s="8"/>
      <c r="N65" s="8"/>
      <c r="O65" s="10"/>
      <c r="P65" s="9"/>
      <c r="Q65" s="9"/>
      <c r="R65" s="9"/>
      <c r="S65" s="5"/>
    </row>
    <row r="66" spans="1:19" ht="9" customHeight="1" x14ac:dyDescent="0.2">
      <c r="A66" s="25"/>
      <c r="B66" s="15"/>
      <c r="C66" s="18"/>
      <c r="D66" s="18"/>
      <c r="E66" s="18"/>
      <c r="F66" s="19"/>
      <c r="G66" s="18"/>
      <c r="H66" s="18"/>
      <c r="I66" s="47"/>
      <c r="J66" s="8"/>
      <c r="K66" s="8"/>
      <c r="L66" s="8"/>
      <c r="M66" s="8"/>
      <c r="N66" s="8"/>
      <c r="O66" s="10"/>
      <c r="P66" s="9"/>
      <c r="Q66" s="9"/>
      <c r="R66" s="9"/>
      <c r="S66" s="5"/>
    </row>
    <row r="67" spans="1:19" ht="28.5" customHeight="1" x14ac:dyDescent="0.2">
      <c r="A67" s="25" t="s">
        <v>13</v>
      </c>
      <c r="B67" s="15" t="s">
        <v>8</v>
      </c>
      <c r="C67" s="18">
        <v>22111.4</v>
      </c>
      <c r="D67" s="18" t="s">
        <v>0</v>
      </c>
      <c r="E67" s="18">
        <v>22109.8</v>
      </c>
      <c r="F67" s="18">
        <v>1.6</v>
      </c>
      <c r="G67" s="18" t="s">
        <v>0</v>
      </c>
      <c r="H67" s="18"/>
      <c r="I67" s="47"/>
      <c r="J67" s="8"/>
      <c r="K67" s="8"/>
      <c r="L67" s="8"/>
      <c r="M67" s="8"/>
      <c r="N67" s="8"/>
      <c r="O67" s="10"/>
      <c r="P67" s="9"/>
      <c r="Q67" s="9"/>
      <c r="R67" s="9"/>
      <c r="S67" s="5"/>
    </row>
    <row r="68" spans="1:19" ht="14.25" customHeight="1" x14ac:dyDescent="0.2">
      <c r="A68" s="23" t="s">
        <v>12</v>
      </c>
      <c r="B68" s="15" t="s">
        <v>1</v>
      </c>
      <c r="C68" s="18">
        <f>C67*1.08</f>
        <v>23880.312000000002</v>
      </c>
      <c r="D68" s="18" t="s">
        <v>0</v>
      </c>
      <c r="E68" s="18">
        <f>E67*1.08</f>
        <v>23878.584000000003</v>
      </c>
      <c r="F68" s="18">
        <f>F67*1.08</f>
        <v>1.7280000000000002</v>
      </c>
      <c r="G68" s="18" t="s">
        <v>0</v>
      </c>
      <c r="H68" s="18"/>
      <c r="I68" s="47"/>
      <c r="J68" s="8"/>
      <c r="K68" s="8"/>
      <c r="L68" s="8"/>
      <c r="M68" s="8"/>
      <c r="N68" s="8"/>
      <c r="O68" s="10"/>
      <c r="P68" s="9"/>
      <c r="Q68" s="9"/>
      <c r="R68" s="9"/>
      <c r="S68" s="5"/>
    </row>
    <row r="69" spans="1:19" ht="9" customHeight="1" x14ac:dyDescent="0.2">
      <c r="A69" s="25"/>
      <c r="B69" s="15"/>
      <c r="C69" s="18"/>
      <c r="D69" s="18"/>
      <c r="E69" s="18"/>
      <c r="F69" s="19"/>
      <c r="G69" s="18"/>
      <c r="H69" s="18"/>
      <c r="I69" s="47"/>
      <c r="J69" s="8"/>
      <c r="K69" s="8"/>
      <c r="L69" s="8"/>
      <c r="M69" s="8"/>
      <c r="N69" s="8"/>
      <c r="O69" s="10"/>
      <c r="P69" s="9"/>
      <c r="Q69" s="9"/>
      <c r="R69" s="9"/>
      <c r="S69" s="5"/>
    </row>
    <row r="70" spans="1:19" ht="28.5" customHeight="1" x14ac:dyDescent="0.2">
      <c r="A70" s="25" t="s">
        <v>11</v>
      </c>
      <c r="B70" s="15" t="s">
        <v>8</v>
      </c>
      <c r="C70" s="18">
        <v>210522.3</v>
      </c>
      <c r="D70" s="18" t="s">
        <v>0</v>
      </c>
      <c r="E70" s="18">
        <v>206239.2</v>
      </c>
      <c r="F70" s="19">
        <v>4282.8999999999996</v>
      </c>
      <c r="G70" s="18" t="s">
        <v>0</v>
      </c>
      <c r="H70" s="18"/>
      <c r="I70" s="47"/>
      <c r="J70" s="8"/>
      <c r="K70" s="8"/>
      <c r="L70" s="8"/>
      <c r="M70" s="8"/>
      <c r="N70" s="8"/>
      <c r="O70" s="10"/>
      <c r="P70" s="9"/>
      <c r="Q70" s="9"/>
      <c r="R70" s="9"/>
      <c r="S70" s="5"/>
    </row>
    <row r="71" spans="1:19" ht="14.25" customHeight="1" x14ac:dyDescent="0.2">
      <c r="A71" s="26" t="s">
        <v>10</v>
      </c>
      <c r="B71" s="15" t="s">
        <v>1</v>
      </c>
      <c r="C71" s="18">
        <f>C70*1.37</f>
        <v>288415.55099999998</v>
      </c>
      <c r="D71" s="18" t="s">
        <v>0</v>
      </c>
      <c r="E71" s="18">
        <f>E70*1.37</f>
        <v>282547.70400000003</v>
      </c>
      <c r="F71" s="18">
        <f>F70*1.37</f>
        <v>5867.5730000000003</v>
      </c>
      <c r="G71" s="18" t="s">
        <v>0</v>
      </c>
      <c r="H71" s="18"/>
      <c r="I71" s="47"/>
      <c r="J71" s="8"/>
      <c r="K71" s="8"/>
      <c r="L71" s="8"/>
      <c r="M71" s="8"/>
      <c r="N71" s="8"/>
      <c r="O71" s="10"/>
      <c r="P71" s="9"/>
      <c r="Q71" s="9"/>
      <c r="R71" s="9"/>
      <c r="S71" s="5"/>
    </row>
    <row r="72" spans="1:19" ht="9" customHeight="1" x14ac:dyDescent="0.2">
      <c r="A72" s="25"/>
      <c r="B72" s="15"/>
      <c r="C72" s="18"/>
      <c r="D72" s="18"/>
      <c r="E72" s="18"/>
      <c r="F72" s="19"/>
      <c r="G72" s="18"/>
      <c r="H72" s="18"/>
      <c r="I72" s="47"/>
      <c r="J72" s="8"/>
      <c r="K72" s="8"/>
      <c r="L72" s="8"/>
      <c r="M72" s="8"/>
      <c r="N72" s="8"/>
      <c r="O72" s="10"/>
      <c r="P72" s="9"/>
      <c r="Q72" s="9"/>
      <c r="R72" s="9"/>
      <c r="S72" s="5"/>
    </row>
    <row r="73" spans="1:19" ht="42.75" customHeight="1" x14ac:dyDescent="0.2">
      <c r="A73" s="27" t="s">
        <v>9</v>
      </c>
      <c r="B73" s="15" t="s">
        <v>8</v>
      </c>
      <c r="C73" s="18">
        <v>126761.2</v>
      </c>
      <c r="D73" s="18">
        <v>90879.2</v>
      </c>
      <c r="E73" s="18">
        <v>13296</v>
      </c>
      <c r="F73" s="19">
        <f>8.2+22577.8</f>
        <v>22586</v>
      </c>
      <c r="G73" s="18" t="s">
        <v>0</v>
      </c>
      <c r="H73" s="18"/>
      <c r="I73" s="47"/>
      <c r="J73" s="8"/>
      <c r="K73" s="8"/>
      <c r="L73" s="8"/>
      <c r="M73" s="8"/>
      <c r="N73" s="8"/>
      <c r="O73" s="10"/>
      <c r="P73" s="9"/>
      <c r="Q73" s="9"/>
      <c r="R73" s="9"/>
      <c r="S73" s="5"/>
    </row>
    <row r="74" spans="1:19" ht="28.5" customHeight="1" x14ac:dyDescent="0.2">
      <c r="A74" s="26" t="s">
        <v>7</v>
      </c>
      <c r="B74" s="15" t="s">
        <v>1</v>
      </c>
      <c r="C74" s="18">
        <f>C73*0.573</f>
        <v>72634.167599999986</v>
      </c>
      <c r="D74" s="18">
        <f>D73*0.573</f>
        <v>52073.781599999995</v>
      </c>
      <c r="E74" s="18">
        <f>E73*0.573</f>
        <v>7618.6079999999993</v>
      </c>
      <c r="F74" s="18">
        <f>F73*0.573</f>
        <v>12941.777999999998</v>
      </c>
      <c r="G74" s="18" t="s">
        <v>0</v>
      </c>
      <c r="H74" s="18"/>
      <c r="I74" s="47"/>
      <c r="J74" s="8"/>
      <c r="K74" s="8"/>
      <c r="L74" s="8"/>
      <c r="M74" s="8"/>
      <c r="N74" s="8"/>
      <c r="O74" s="10"/>
      <c r="P74" s="9"/>
      <c r="Q74" s="9"/>
      <c r="R74" s="9"/>
      <c r="S74" s="5"/>
    </row>
    <row r="75" spans="1:19" ht="9" customHeight="1" x14ac:dyDescent="0.2">
      <c r="A75" s="25"/>
      <c r="B75" s="15"/>
      <c r="C75" s="18"/>
      <c r="D75" s="18"/>
      <c r="E75" s="18"/>
      <c r="F75" s="19"/>
      <c r="G75" s="18"/>
      <c r="H75" s="18"/>
      <c r="I75" s="47"/>
      <c r="J75" s="8"/>
      <c r="K75" s="8"/>
      <c r="L75" s="8"/>
      <c r="M75" s="8"/>
      <c r="N75" s="8"/>
      <c r="O75" s="10"/>
      <c r="P75" s="9"/>
      <c r="Q75" s="9"/>
      <c r="R75" s="9"/>
      <c r="S75" s="5"/>
    </row>
    <row r="76" spans="1:19" ht="28.5" customHeight="1" x14ac:dyDescent="0.2">
      <c r="A76" s="25" t="s">
        <v>6</v>
      </c>
      <c r="B76" s="24" t="s">
        <v>3</v>
      </c>
      <c r="C76" s="18">
        <v>4124577.7</v>
      </c>
      <c r="D76" s="18">
        <v>1025443.9</v>
      </c>
      <c r="E76" s="18" t="s">
        <v>0</v>
      </c>
      <c r="F76" s="18">
        <f>1642334.3+1456799.5</f>
        <v>3099133.8</v>
      </c>
      <c r="G76" s="18" t="s">
        <v>0</v>
      </c>
      <c r="H76" s="18"/>
      <c r="I76" s="47"/>
      <c r="J76" s="8"/>
      <c r="K76" s="8"/>
      <c r="L76" s="8"/>
      <c r="M76" s="8"/>
      <c r="N76" s="8"/>
      <c r="O76" s="10"/>
      <c r="P76" s="9"/>
      <c r="Q76" s="9"/>
      <c r="R76" s="9"/>
      <c r="S76" s="5"/>
    </row>
    <row r="77" spans="1:19" ht="14.25" customHeight="1" x14ac:dyDescent="0.2">
      <c r="A77" s="23" t="s">
        <v>5</v>
      </c>
      <c r="B77" s="15" t="s">
        <v>1</v>
      </c>
      <c r="C77" s="18">
        <f>C76*0.571</f>
        <v>2355133.8667000001</v>
      </c>
      <c r="D77" s="18">
        <f>D76*0.571</f>
        <v>585528.4669</v>
      </c>
      <c r="E77" s="18" t="s">
        <v>0</v>
      </c>
      <c r="F77" s="18">
        <f>F76*0.571</f>
        <v>1769605.3997999998</v>
      </c>
      <c r="G77" s="18" t="s">
        <v>0</v>
      </c>
      <c r="H77" s="18"/>
      <c r="I77" s="47"/>
      <c r="J77" s="8"/>
      <c r="K77" s="8"/>
      <c r="L77" s="8"/>
      <c r="M77" s="8"/>
      <c r="N77" s="8"/>
      <c r="O77" s="10"/>
      <c r="P77" s="9"/>
      <c r="Q77" s="9"/>
      <c r="R77" s="9"/>
      <c r="S77" s="5"/>
    </row>
    <row r="78" spans="1:19" ht="9" customHeight="1" x14ac:dyDescent="0.2">
      <c r="A78" s="23"/>
      <c r="B78" s="15"/>
      <c r="C78" s="18"/>
      <c r="D78" s="18"/>
      <c r="E78" s="18"/>
      <c r="F78" s="18"/>
      <c r="G78" s="18"/>
      <c r="H78" s="18"/>
      <c r="I78" s="47"/>
      <c r="J78" s="8"/>
      <c r="K78" s="8"/>
      <c r="L78" s="8"/>
      <c r="M78" s="8"/>
      <c r="N78" s="8"/>
      <c r="O78" s="10"/>
      <c r="P78" s="9"/>
      <c r="Q78" s="9"/>
      <c r="R78" s="9"/>
      <c r="S78" s="5"/>
    </row>
    <row r="79" spans="1:19" s="17" customFormat="1" ht="28.5" customHeight="1" x14ac:dyDescent="0.2">
      <c r="A79" s="22" t="s">
        <v>4</v>
      </c>
      <c r="B79" s="21" t="s">
        <v>3</v>
      </c>
      <c r="C79" s="14">
        <v>34109888</v>
      </c>
      <c r="D79" s="14">
        <v>8494177.0999999996</v>
      </c>
      <c r="E79" s="14">
        <v>55709</v>
      </c>
      <c r="F79" s="20">
        <v>25560001.899999999</v>
      </c>
      <c r="G79" s="19" t="s">
        <v>0</v>
      </c>
      <c r="H79" s="18"/>
      <c r="I79" s="47"/>
      <c r="J79" s="8"/>
      <c r="K79" s="8"/>
      <c r="L79" s="8"/>
      <c r="M79" s="8"/>
      <c r="N79" s="8"/>
      <c r="O79" s="10"/>
      <c r="P79" s="9"/>
      <c r="Q79" s="9"/>
      <c r="R79" s="9"/>
      <c r="S79" s="5"/>
    </row>
    <row r="80" spans="1:19" ht="14.25" customHeight="1" x14ac:dyDescent="0.2">
      <c r="A80" s="16" t="s">
        <v>2</v>
      </c>
      <c r="B80" s="15" t="s">
        <v>1</v>
      </c>
      <c r="C80" s="14">
        <f>C79*0.146</f>
        <v>4980043.648</v>
      </c>
      <c r="D80" s="14">
        <f>D79*0.146</f>
        <v>1240149.8565999998</v>
      </c>
      <c r="E80" s="14">
        <f>E79*0.146</f>
        <v>8133.5139999999992</v>
      </c>
      <c r="F80" s="14">
        <f>F79*0.146</f>
        <v>3731760.2773999996</v>
      </c>
      <c r="G80" s="14" t="s">
        <v>0</v>
      </c>
      <c r="H80" s="18"/>
      <c r="I80" s="47"/>
      <c r="J80" s="8"/>
      <c r="K80" s="8"/>
      <c r="L80" s="8"/>
      <c r="M80" s="8"/>
      <c r="N80" s="8"/>
      <c r="O80" s="10"/>
      <c r="P80" s="9"/>
      <c r="Q80" s="9"/>
      <c r="R80" s="9"/>
      <c r="S80" s="5"/>
    </row>
    <row r="81" spans="1:19" ht="14.25" customHeight="1" thickBot="1" x14ac:dyDescent="0.25">
      <c r="A81" s="13"/>
      <c r="B81" s="12"/>
      <c r="C81" s="11"/>
      <c r="D81" s="11"/>
      <c r="E81" s="11"/>
      <c r="F81" s="11"/>
      <c r="G81" s="11"/>
      <c r="J81" s="8"/>
      <c r="K81" s="8"/>
      <c r="L81" s="8"/>
      <c r="M81" s="8"/>
      <c r="N81" s="8"/>
      <c r="O81" s="10"/>
      <c r="P81" s="9"/>
      <c r="Q81" s="9"/>
      <c r="R81" s="9"/>
      <c r="S81" s="5"/>
    </row>
    <row r="82" spans="1:19" ht="15" thickTop="1" x14ac:dyDescent="0.2"/>
    <row r="97" spans="10:12" x14ac:dyDescent="0.2">
      <c r="J97" s="8"/>
      <c r="K97" s="8"/>
      <c r="L97" s="8"/>
    </row>
  </sheetData>
  <mergeCells count="9">
    <mergeCell ref="A3:A4"/>
    <mergeCell ref="A49:A50"/>
    <mergeCell ref="C48:G48"/>
    <mergeCell ref="B49:B50"/>
    <mergeCell ref="C49:C50"/>
    <mergeCell ref="D49:G49"/>
    <mergeCell ref="B3:B4"/>
    <mergeCell ref="C3:C4"/>
    <mergeCell ref="D3:G3"/>
  </mergeCells>
  <pageMargins left="0.70866141732283472" right="0.70866141732283472" top="0.98425196850393704" bottom="0.98425196850393704" header="0.51181102362204722" footer="0.51181102362204722"/>
  <pageSetup paperSize="9" scale="78" firstPageNumber="36" orientation="portrait" useFirstPageNumber="1" verticalDpi="200" r:id="rId1"/>
  <headerFooter alignWithMargins="0">
    <oddHeader xml:space="preserve">&amp;L &amp;E2. Основні напрями використання палива / The main ways of fuel use                                                                                                        </oddHeader>
    <oddFooter>&amp;C&amp;P</oddFoot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Україна 2.1</vt:lpstr>
      <vt:lpstr>'Україна 2.1'!Область_друку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G.Lykhach</cp:lastModifiedBy>
  <cp:lastPrinted>2016-12-25T17:52:19Z</cp:lastPrinted>
  <dcterms:created xsi:type="dcterms:W3CDTF">2016-12-21T18:31:01Z</dcterms:created>
  <dcterms:modified xsi:type="dcterms:W3CDTF">2016-12-28T10:59:30Z</dcterms:modified>
</cp:coreProperties>
</file>